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burns/Desktop/"/>
    </mc:Choice>
  </mc:AlternateContent>
  <xr:revisionPtr revIDLastSave="0" documentId="8_{1333BDCD-11BD-2148-9E28-3BFFC4E1D45F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Sample Score Card" sheetId="16" r:id="rId1"/>
    <sheet name="Chapel Hill Scorecard" sheetId="11" r:id="rId2"/>
    <sheet name="Current Program Scoring" sheetId="1" state="hidden" r:id="rId3"/>
    <sheet name="2017" sheetId="2" state="hidden" r:id="rId4"/>
    <sheet name="NPS Scoring Example" sheetId="15" r:id="rId5"/>
    <sheet name="Staff Time Calc" sheetId="5" r:id="rId6"/>
    <sheet name="Vanessa" sheetId="7" state="hidden" r:id="rId7"/>
    <sheet name="Nicholas" sheetId="8" state="hidden" r:id="rId8"/>
    <sheet name="Rebecca" sheetId="9" state="hidden" r:id="rId9"/>
    <sheet name="Justin" sheetId="10" state="hidden" r:id="rId10"/>
  </sheets>
  <definedNames>
    <definedName name="_xlnm.Print_Area" localSheetId="2">'Current Program Scoring'!$A$1:$Q$29</definedName>
    <definedName name="_xlnm.Print_Area" localSheetId="5">'Staff Time Calc'!$A$1:$K$41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H31" i="11"/>
  <c r="H30" i="11"/>
  <c r="I19" i="11"/>
  <c r="F17" i="11"/>
  <c r="H16" i="11"/>
  <c r="F15" i="11"/>
  <c r="H14" i="11"/>
  <c r="H13" i="11"/>
  <c r="F13" i="11"/>
  <c r="E13" i="11"/>
  <c r="D13" i="11"/>
  <c r="H12" i="11"/>
  <c r="H11" i="11"/>
  <c r="F11" i="11"/>
  <c r="E11" i="11"/>
  <c r="D11" i="11"/>
  <c r="H9" i="11"/>
  <c r="E9" i="11"/>
  <c r="D9" i="11"/>
  <c r="F8" i="11"/>
  <c r="H7" i="11"/>
  <c r="H6" i="11"/>
  <c r="H5" i="11"/>
  <c r="H4" i="11"/>
  <c r="G4" i="11"/>
  <c r="G19" i="11" s="1"/>
  <c r="F4" i="11"/>
  <c r="E4" i="11"/>
  <c r="D4" i="11"/>
  <c r="H3" i="11"/>
  <c r="F3" i="11"/>
  <c r="H32" i="11" l="1"/>
  <c r="H19" i="11"/>
  <c r="E19" i="11"/>
  <c r="F19" i="11"/>
  <c r="D19" i="11"/>
  <c r="C24" i="2"/>
  <c r="I41" i="5" l="1"/>
  <c r="G41" i="5"/>
  <c r="B41" i="5" l="1"/>
  <c r="B3" i="10"/>
  <c r="H3" i="10"/>
  <c r="B4" i="10"/>
  <c r="C4" i="10"/>
  <c r="D4" i="10"/>
  <c r="E4" i="10"/>
  <c r="F4" i="10"/>
  <c r="G4" i="10"/>
  <c r="H4" i="10"/>
  <c r="I4" i="10"/>
  <c r="B5" i="10"/>
  <c r="C5" i="10"/>
  <c r="D5" i="10"/>
  <c r="E5" i="10"/>
  <c r="F5" i="10"/>
  <c r="G5" i="10"/>
  <c r="H5" i="10"/>
  <c r="I5" i="10"/>
  <c r="B6" i="10"/>
  <c r="C6" i="10"/>
  <c r="D6" i="10"/>
  <c r="E6" i="10"/>
  <c r="F6" i="10"/>
  <c r="G6" i="10"/>
  <c r="H6" i="10"/>
  <c r="I6" i="10"/>
  <c r="B7" i="10"/>
  <c r="C7" i="10"/>
  <c r="D7" i="10"/>
  <c r="E7" i="10"/>
  <c r="F7" i="10"/>
  <c r="G7" i="10"/>
  <c r="H7" i="10"/>
  <c r="I7" i="10"/>
  <c r="B8" i="10"/>
  <c r="C8" i="10"/>
  <c r="D8" i="10"/>
  <c r="E8" i="10"/>
  <c r="F8" i="10"/>
  <c r="G8" i="10"/>
  <c r="B9" i="10"/>
  <c r="C9" i="10"/>
  <c r="D9" i="10"/>
  <c r="E9" i="10"/>
  <c r="F9" i="10"/>
  <c r="G9" i="10"/>
  <c r="H9" i="10"/>
  <c r="I9" i="10"/>
  <c r="B10" i="10"/>
  <c r="C10" i="10"/>
  <c r="D10" i="10"/>
  <c r="E10" i="10"/>
  <c r="F10" i="10"/>
  <c r="G10" i="10"/>
  <c r="H10" i="10"/>
  <c r="I10" i="10"/>
  <c r="B11" i="10"/>
  <c r="C11" i="10"/>
  <c r="D11" i="10"/>
  <c r="E11" i="10"/>
  <c r="F11" i="10"/>
  <c r="G11" i="10"/>
  <c r="H11" i="10"/>
  <c r="I11" i="10"/>
  <c r="B12" i="10"/>
  <c r="C12" i="10"/>
  <c r="D12" i="10"/>
  <c r="E12" i="10"/>
  <c r="F12" i="10"/>
  <c r="G12" i="10"/>
  <c r="H12" i="10"/>
  <c r="I12" i="10"/>
  <c r="B13" i="10"/>
  <c r="C13" i="10"/>
  <c r="D13" i="10"/>
  <c r="E13" i="10"/>
  <c r="F13" i="10"/>
  <c r="G13" i="10"/>
  <c r="H13" i="10"/>
  <c r="I13" i="10"/>
  <c r="B14" i="10"/>
  <c r="C14" i="10"/>
  <c r="D14" i="10"/>
  <c r="E14" i="10"/>
  <c r="F14" i="10"/>
  <c r="G14" i="10"/>
  <c r="H14" i="10"/>
  <c r="I14" i="10"/>
  <c r="B15" i="10"/>
  <c r="C15" i="10"/>
  <c r="D15" i="10"/>
  <c r="E15" i="10"/>
  <c r="F15" i="10"/>
  <c r="G15" i="10"/>
  <c r="H15" i="10"/>
  <c r="I15" i="10"/>
  <c r="B16" i="10"/>
  <c r="C16" i="10"/>
  <c r="D16" i="10"/>
  <c r="E16" i="10"/>
  <c r="F16" i="10"/>
  <c r="G16" i="10"/>
  <c r="H16" i="10"/>
  <c r="B17" i="10"/>
  <c r="C17" i="10"/>
  <c r="D17" i="10"/>
  <c r="E17" i="10"/>
  <c r="F17" i="10"/>
  <c r="G17" i="10"/>
  <c r="H17" i="10"/>
  <c r="I17" i="10"/>
  <c r="B18" i="10"/>
  <c r="C18" i="10"/>
  <c r="D18" i="10"/>
  <c r="E18" i="10"/>
  <c r="F18" i="10"/>
  <c r="G18" i="10"/>
  <c r="H18" i="10"/>
  <c r="I18" i="10"/>
  <c r="B19" i="10"/>
  <c r="C19" i="10"/>
  <c r="D19" i="10"/>
  <c r="E19" i="10"/>
  <c r="F19" i="10"/>
  <c r="G19" i="10"/>
  <c r="H19" i="10"/>
  <c r="I19" i="10"/>
  <c r="B20" i="10"/>
  <c r="C20" i="10"/>
  <c r="D20" i="10"/>
  <c r="E20" i="10"/>
  <c r="F20" i="10"/>
  <c r="G20" i="10"/>
  <c r="H20" i="10"/>
  <c r="I20" i="10"/>
  <c r="B21" i="10"/>
  <c r="C21" i="10"/>
  <c r="D21" i="10"/>
  <c r="E21" i="10"/>
  <c r="F21" i="10"/>
  <c r="G21" i="10"/>
  <c r="H21" i="10"/>
  <c r="I21" i="10"/>
  <c r="B22" i="10"/>
  <c r="C22" i="10"/>
  <c r="D22" i="10"/>
  <c r="E22" i="10"/>
  <c r="F22" i="10"/>
  <c r="G22" i="10"/>
  <c r="H22" i="10"/>
  <c r="I22" i="10"/>
  <c r="B23" i="10"/>
  <c r="C23" i="10"/>
  <c r="D23" i="10"/>
  <c r="E23" i="10"/>
  <c r="F23" i="10"/>
  <c r="G23" i="10"/>
  <c r="H23" i="10"/>
  <c r="I23" i="10"/>
  <c r="B25" i="10"/>
  <c r="B26" i="10"/>
  <c r="B27" i="10"/>
  <c r="B28" i="10"/>
  <c r="B29" i="10"/>
  <c r="B31" i="10"/>
  <c r="C31" i="10"/>
  <c r="D31" i="10"/>
  <c r="E31" i="10"/>
  <c r="F31" i="10"/>
  <c r="G31" i="10"/>
  <c r="H31" i="10"/>
  <c r="I31" i="10"/>
  <c r="B32" i="10"/>
  <c r="B33" i="10"/>
  <c r="C33" i="10"/>
  <c r="D33" i="10"/>
  <c r="E33" i="10"/>
  <c r="F33" i="10"/>
  <c r="G33" i="10"/>
  <c r="H33" i="10"/>
  <c r="I33" i="10"/>
  <c r="B34" i="10"/>
  <c r="C34" i="10"/>
  <c r="D34" i="10"/>
  <c r="E34" i="10"/>
  <c r="F34" i="10"/>
  <c r="G34" i="10"/>
  <c r="H34" i="10"/>
  <c r="I34" i="10"/>
  <c r="B35" i="10"/>
  <c r="C35" i="10"/>
  <c r="D35" i="10"/>
  <c r="E35" i="10"/>
  <c r="F35" i="10"/>
  <c r="G35" i="10"/>
  <c r="H35" i="10"/>
  <c r="B36" i="10"/>
  <c r="C36" i="10"/>
  <c r="D36" i="10"/>
  <c r="E36" i="10"/>
  <c r="F36" i="10"/>
  <c r="G36" i="10"/>
  <c r="H36" i="10"/>
  <c r="I36" i="10"/>
  <c r="B37" i="10"/>
  <c r="C37" i="10"/>
  <c r="D37" i="10"/>
  <c r="E37" i="10"/>
  <c r="F37" i="10"/>
  <c r="G37" i="10"/>
  <c r="H37" i="10"/>
  <c r="I37" i="10"/>
  <c r="B39" i="10"/>
  <c r="C39" i="10"/>
  <c r="D39" i="10"/>
  <c r="E39" i="10"/>
  <c r="F39" i="10"/>
  <c r="G39" i="10"/>
  <c r="H39" i="10"/>
  <c r="I39" i="10"/>
  <c r="B40" i="10"/>
  <c r="C40" i="10"/>
  <c r="D40" i="10"/>
  <c r="E40" i="10"/>
  <c r="F40" i="10"/>
  <c r="G40" i="10"/>
  <c r="H40" i="10"/>
  <c r="I40" i="10"/>
  <c r="B41" i="10"/>
  <c r="C41" i="10"/>
  <c r="D41" i="10"/>
  <c r="E41" i="10"/>
  <c r="F41" i="10"/>
  <c r="G41" i="10"/>
  <c r="H41" i="10"/>
  <c r="I41" i="10"/>
  <c r="B42" i="10"/>
  <c r="C42" i="10"/>
  <c r="D42" i="10"/>
  <c r="E42" i="10"/>
  <c r="F42" i="10"/>
  <c r="G42" i="10"/>
  <c r="H42" i="10"/>
  <c r="I42" i="10"/>
  <c r="B43" i="10"/>
  <c r="C43" i="10"/>
  <c r="D43" i="10"/>
  <c r="E43" i="10"/>
  <c r="F43" i="10"/>
  <c r="G43" i="10"/>
  <c r="H43" i="10"/>
  <c r="I43" i="10"/>
  <c r="B44" i="10" l="1"/>
  <c r="B3" i="9"/>
  <c r="H3" i="9"/>
  <c r="B4" i="9"/>
  <c r="C4" i="9"/>
  <c r="D4" i="9"/>
  <c r="E4" i="9"/>
  <c r="F4" i="9"/>
  <c r="G4" i="9"/>
  <c r="H4" i="9"/>
  <c r="I4" i="9"/>
  <c r="B5" i="9"/>
  <c r="C5" i="9"/>
  <c r="D5" i="9"/>
  <c r="E5" i="9"/>
  <c r="F5" i="9"/>
  <c r="G5" i="9"/>
  <c r="H5" i="9"/>
  <c r="I5" i="9"/>
  <c r="B6" i="9"/>
  <c r="C6" i="9"/>
  <c r="D6" i="9"/>
  <c r="E6" i="9"/>
  <c r="F6" i="9"/>
  <c r="G6" i="9"/>
  <c r="H6" i="9"/>
  <c r="I6" i="9"/>
  <c r="B7" i="9"/>
  <c r="C7" i="9"/>
  <c r="D7" i="9"/>
  <c r="E7" i="9"/>
  <c r="F7" i="9"/>
  <c r="G7" i="9"/>
  <c r="H7" i="9"/>
  <c r="I7" i="9"/>
  <c r="B8" i="9"/>
  <c r="C8" i="9"/>
  <c r="D8" i="9"/>
  <c r="E8" i="9"/>
  <c r="F8" i="9"/>
  <c r="G8" i="9"/>
  <c r="B9" i="9"/>
  <c r="C9" i="9"/>
  <c r="D9" i="9"/>
  <c r="E9" i="9"/>
  <c r="F9" i="9"/>
  <c r="G9" i="9"/>
  <c r="H9" i="9"/>
  <c r="I9" i="9"/>
  <c r="B10" i="9"/>
  <c r="C10" i="9"/>
  <c r="D10" i="9"/>
  <c r="E10" i="9"/>
  <c r="F10" i="9"/>
  <c r="G10" i="9"/>
  <c r="H10" i="9"/>
  <c r="I10" i="9"/>
  <c r="B11" i="9"/>
  <c r="C11" i="9"/>
  <c r="D11" i="9"/>
  <c r="E11" i="9"/>
  <c r="F11" i="9"/>
  <c r="G11" i="9"/>
  <c r="H11" i="9"/>
  <c r="I11" i="9"/>
  <c r="B12" i="9"/>
  <c r="C12" i="9"/>
  <c r="D12" i="9"/>
  <c r="E12" i="9"/>
  <c r="F12" i="9"/>
  <c r="G12" i="9"/>
  <c r="H12" i="9"/>
  <c r="I12" i="9"/>
  <c r="B13" i="9"/>
  <c r="C13" i="9"/>
  <c r="D13" i="9"/>
  <c r="E13" i="9"/>
  <c r="F13" i="9"/>
  <c r="G13" i="9"/>
  <c r="H13" i="9"/>
  <c r="I13" i="9"/>
  <c r="B14" i="9"/>
  <c r="C14" i="9"/>
  <c r="D14" i="9"/>
  <c r="E14" i="9"/>
  <c r="F14" i="9"/>
  <c r="G14" i="9"/>
  <c r="H14" i="9"/>
  <c r="I14" i="9"/>
  <c r="B15" i="9"/>
  <c r="C15" i="9"/>
  <c r="D15" i="9"/>
  <c r="E15" i="9"/>
  <c r="F15" i="9"/>
  <c r="G15" i="9"/>
  <c r="H15" i="9"/>
  <c r="I15" i="9"/>
  <c r="B16" i="9"/>
  <c r="C16" i="9"/>
  <c r="D16" i="9"/>
  <c r="E16" i="9"/>
  <c r="F16" i="9"/>
  <c r="G16" i="9"/>
  <c r="H16" i="9"/>
  <c r="B17" i="9"/>
  <c r="C17" i="9"/>
  <c r="D17" i="9"/>
  <c r="E17" i="9"/>
  <c r="F17" i="9"/>
  <c r="G17" i="9"/>
  <c r="H17" i="9"/>
  <c r="I17" i="9"/>
  <c r="B18" i="9"/>
  <c r="C18" i="9"/>
  <c r="D18" i="9"/>
  <c r="E18" i="9"/>
  <c r="F18" i="9"/>
  <c r="G18" i="9"/>
  <c r="H18" i="9"/>
  <c r="I18" i="9"/>
  <c r="B19" i="9"/>
  <c r="C19" i="9"/>
  <c r="D19" i="9"/>
  <c r="E19" i="9"/>
  <c r="F19" i="9"/>
  <c r="G19" i="9"/>
  <c r="H19" i="9"/>
  <c r="I19" i="9"/>
  <c r="B20" i="9"/>
  <c r="C20" i="9"/>
  <c r="D20" i="9"/>
  <c r="E20" i="9"/>
  <c r="F20" i="9"/>
  <c r="G20" i="9"/>
  <c r="H20" i="9"/>
  <c r="I20" i="9"/>
  <c r="B21" i="9"/>
  <c r="C21" i="9"/>
  <c r="D21" i="9"/>
  <c r="E21" i="9"/>
  <c r="F21" i="9"/>
  <c r="G21" i="9"/>
  <c r="H21" i="9"/>
  <c r="I21" i="9"/>
  <c r="B22" i="9"/>
  <c r="C22" i="9"/>
  <c r="D22" i="9"/>
  <c r="E22" i="9"/>
  <c r="F22" i="9"/>
  <c r="G22" i="9"/>
  <c r="H22" i="9"/>
  <c r="I22" i="9"/>
  <c r="B23" i="9"/>
  <c r="C23" i="9"/>
  <c r="D23" i="9"/>
  <c r="E23" i="9"/>
  <c r="F23" i="9"/>
  <c r="G23" i="9"/>
  <c r="H23" i="9"/>
  <c r="I23" i="9"/>
  <c r="B25" i="9"/>
  <c r="B26" i="9"/>
  <c r="B27" i="9"/>
  <c r="B28" i="9"/>
  <c r="B29" i="9"/>
  <c r="B31" i="9"/>
  <c r="C31" i="9"/>
  <c r="D31" i="9"/>
  <c r="E31" i="9"/>
  <c r="F31" i="9"/>
  <c r="G31" i="9"/>
  <c r="H31" i="9"/>
  <c r="I31" i="9"/>
  <c r="B32" i="9"/>
  <c r="B33" i="9"/>
  <c r="C33" i="9"/>
  <c r="D33" i="9"/>
  <c r="E33" i="9"/>
  <c r="F33" i="9"/>
  <c r="G33" i="9"/>
  <c r="H33" i="9"/>
  <c r="I33" i="9"/>
  <c r="B34" i="9"/>
  <c r="C34" i="9"/>
  <c r="D34" i="9"/>
  <c r="E34" i="9"/>
  <c r="F34" i="9"/>
  <c r="G34" i="9"/>
  <c r="H34" i="9"/>
  <c r="I34" i="9"/>
  <c r="B35" i="9"/>
  <c r="C35" i="9"/>
  <c r="D35" i="9"/>
  <c r="E35" i="9"/>
  <c r="F35" i="9"/>
  <c r="G35" i="9"/>
  <c r="H35" i="9"/>
  <c r="B36" i="9"/>
  <c r="C36" i="9"/>
  <c r="D36" i="9"/>
  <c r="E36" i="9"/>
  <c r="F36" i="9"/>
  <c r="G36" i="9"/>
  <c r="H36" i="9"/>
  <c r="I36" i="9"/>
  <c r="B37" i="9"/>
  <c r="C37" i="9"/>
  <c r="D37" i="9"/>
  <c r="E37" i="9"/>
  <c r="F37" i="9"/>
  <c r="G37" i="9"/>
  <c r="H37" i="9"/>
  <c r="I37" i="9"/>
  <c r="B39" i="9"/>
  <c r="C39" i="9"/>
  <c r="D39" i="9"/>
  <c r="E39" i="9"/>
  <c r="F39" i="9"/>
  <c r="G39" i="9"/>
  <c r="H39" i="9"/>
  <c r="I39" i="9"/>
  <c r="B40" i="9"/>
  <c r="C40" i="9"/>
  <c r="D40" i="9"/>
  <c r="E40" i="9"/>
  <c r="F40" i="9"/>
  <c r="G40" i="9"/>
  <c r="H40" i="9"/>
  <c r="I40" i="9"/>
  <c r="B41" i="9"/>
  <c r="C41" i="9"/>
  <c r="D41" i="9"/>
  <c r="E41" i="9"/>
  <c r="F41" i="9"/>
  <c r="G41" i="9"/>
  <c r="H41" i="9"/>
  <c r="I41" i="9"/>
  <c r="B42" i="9"/>
  <c r="C42" i="9"/>
  <c r="D42" i="9"/>
  <c r="E42" i="9"/>
  <c r="F42" i="9"/>
  <c r="G42" i="9"/>
  <c r="H42" i="9"/>
  <c r="I42" i="9"/>
  <c r="B43" i="9"/>
  <c r="C43" i="9"/>
  <c r="D43" i="9"/>
  <c r="E43" i="9"/>
  <c r="F43" i="9"/>
  <c r="G43" i="9"/>
  <c r="H43" i="9"/>
  <c r="I43" i="9"/>
  <c r="J25" i="5" l="1"/>
  <c r="C41" i="5"/>
  <c r="D41" i="5"/>
  <c r="F41" i="5"/>
  <c r="K25" i="5"/>
  <c r="B3" i="8"/>
  <c r="H3" i="8"/>
  <c r="B4" i="8"/>
  <c r="C4" i="8"/>
  <c r="D4" i="8"/>
  <c r="E4" i="8"/>
  <c r="F4" i="8"/>
  <c r="G4" i="8"/>
  <c r="H4" i="8"/>
  <c r="I4" i="8"/>
  <c r="B5" i="8"/>
  <c r="C5" i="8"/>
  <c r="D5" i="8"/>
  <c r="E5" i="8"/>
  <c r="F5" i="8"/>
  <c r="G5" i="8"/>
  <c r="H5" i="8"/>
  <c r="I5" i="8"/>
  <c r="B6" i="8"/>
  <c r="C6" i="8"/>
  <c r="D6" i="8"/>
  <c r="E6" i="8"/>
  <c r="F6" i="8"/>
  <c r="G6" i="8"/>
  <c r="H6" i="8"/>
  <c r="I6" i="8"/>
  <c r="B7" i="8"/>
  <c r="C7" i="8"/>
  <c r="D7" i="8"/>
  <c r="E7" i="8"/>
  <c r="F7" i="8"/>
  <c r="G7" i="8"/>
  <c r="H7" i="8"/>
  <c r="I7" i="8"/>
  <c r="B8" i="8"/>
  <c r="B9" i="8"/>
  <c r="C9" i="8"/>
  <c r="D9" i="8"/>
  <c r="E9" i="8"/>
  <c r="F9" i="8"/>
  <c r="G9" i="8"/>
  <c r="H9" i="8"/>
  <c r="I9" i="8"/>
  <c r="B10" i="8"/>
  <c r="C10" i="8"/>
  <c r="D10" i="8"/>
  <c r="E10" i="8"/>
  <c r="F10" i="8"/>
  <c r="G10" i="8"/>
  <c r="H10" i="8"/>
  <c r="I10" i="8"/>
  <c r="B11" i="8"/>
  <c r="C11" i="8"/>
  <c r="D11" i="8"/>
  <c r="E11" i="8"/>
  <c r="F11" i="8"/>
  <c r="G11" i="8"/>
  <c r="H11" i="8"/>
  <c r="I11" i="8"/>
  <c r="B12" i="8"/>
  <c r="C12" i="8"/>
  <c r="D12" i="8"/>
  <c r="E12" i="8"/>
  <c r="F12" i="8"/>
  <c r="G12" i="8"/>
  <c r="H12" i="8"/>
  <c r="I12" i="8"/>
  <c r="B13" i="8"/>
  <c r="C13" i="8"/>
  <c r="D13" i="8"/>
  <c r="E13" i="8"/>
  <c r="F13" i="8"/>
  <c r="G13" i="8"/>
  <c r="H13" i="8"/>
  <c r="I13" i="8"/>
  <c r="B14" i="8"/>
  <c r="C14" i="8"/>
  <c r="D14" i="8"/>
  <c r="E14" i="8"/>
  <c r="F14" i="8"/>
  <c r="G14" i="8"/>
  <c r="H14" i="8"/>
  <c r="I14" i="8"/>
  <c r="B15" i="8"/>
  <c r="C15" i="8"/>
  <c r="D15" i="8"/>
  <c r="E15" i="8"/>
  <c r="F15" i="8"/>
  <c r="G15" i="8"/>
  <c r="H15" i="8"/>
  <c r="I15" i="8"/>
  <c r="B16" i="8"/>
  <c r="C16" i="8"/>
  <c r="D16" i="8"/>
  <c r="E16" i="8"/>
  <c r="F16" i="8"/>
  <c r="G16" i="8"/>
  <c r="H16" i="8"/>
  <c r="B17" i="8"/>
  <c r="C17" i="8"/>
  <c r="D17" i="8"/>
  <c r="E17" i="8"/>
  <c r="F17" i="8"/>
  <c r="G17" i="8"/>
  <c r="H17" i="8"/>
  <c r="I17" i="8"/>
  <c r="B18" i="8"/>
  <c r="C18" i="8"/>
  <c r="D18" i="8"/>
  <c r="E18" i="8"/>
  <c r="F18" i="8"/>
  <c r="G18" i="8"/>
  <c r="H18" i="8"/>
  <c r="I18" i="8"/>
  <c r="B19" i="8"/>
  <c r="C19" i="8"/>
  <c r="D19" i="8"/>
  <c r="E19" i="8"/>
  <c r="F19" i="8"/>
  <c r="G19" i="8"/>
  <c r="H19" i="8"/>
  <c r="I19" i="8"/>
  <c r="B20" i="8"/>
  <c r="C20" i="8"/>
  <c r="D20" i="8"/>
  <c r="E20" i="8"/>
  <c r="F20" i="8"/>
  <c r="G20" i="8"/>
  <c r="H20" i="8"/>
  <c r="I20" i="8"/>
  <c r="B21" i="8"/>
  <c r="C21" i="8"/>
  <c r="D21" i="8"/>
  <c r="E21" i="8"/>
  <c r="F21" i="8"/>
  <c r="G21" i="8"/>
  <c r="H21" i="8"/>
  <c r="I21" i="8"/>
  <c r="B22" i="8"/>
  <c r="C22" i="8"/>
  <c r="D22" i="8"/>
  <c r="E22" i="8"/>
  <c r="F22" i="8"/>
  <c r="G22" i="8"/>
  <c r="H22" i="8"/>
  <c r="I22" i="8"/>
  <c r="B23" i="8"/>
  <c r="C23" i="8"/>
  <c r="D23" i="8"/>
  <c r="E23" i="8"/>
  <c r="F23" i="8"/>
  <c r="G23" i="8"/>
  <c r="H23" i="8"/>
  <c r="I23" i="8"/>
  <c r="B25" i="8"/>
  <c r="B26" i="8"/>
  <c r="B27" i="8"/>
  <c r="B28" i="8"/>
  <c r="B29" i="8"/>
  <c r="B31" i="8"/>
  <c r="C31" i="8"/>
  <c r="D31" i="8"/>
  <c r="E31" i="8"/>
  <c r="F31" i="8"/>
  <c r="G31" i="8"/>
  <c r="H31" i="8"/>
  <c r="I31" i="8"/>
  <c r="B32" i="8"/>
  <c r="B33" i="8"/>
  <c r="C33" i="8"/>
  <c r="D33" i="8"/>
  <c r="E33" i="8"/>
  <c r="F33" i="8"/>
  <c r="G33" i="8"/>
  <c r="H33" i="8"/>
  <c r="I33" i="8"/>
  <c r="B34" i="8"/>
  <c r="C34" i="8"/>
  <c r="D34" i="8"/>
  <c r="E34" i="8"/>
  <c r="F34" i="8"/>
  <c r="G34" i="8"/>
  <c r="H34" i="8"/>
  <c r="I34" i="8"/>
  <c r="B35" i="8"/>
  <c r="C35" i="8"/>
  <c r="D35" i="8"/>
  <c r="E35" i="8"/>
  <c r="F35" i="8"/>
  <c r="G35" i="8"/>
  <c r="H35" i="8"/>
  <c r="B36" i="8"/>
  <c r="C36" i="8"/>
  <c r="D36" i="8"/>
  <c r="E36" i="8"/>
  <c r="F36" i="8"/>
  <c r="G36" i="8"/>
  <c r="H36" i="8"/>
  <c r="I36" i="8"/>
  <c r="B37" i="8"/>
  <c r="C37" i="8"/>
  <c r="D37" i="8"/>
  <c r="E37" i="8"/>
  <c r="F37" i="8"/>
  <c r="G37" i="8"/>
  <c r="H37" i="8"/>
  <c r="I37" i="8"/>
  <c r="B39" i="8"/>
  <c r="C39" i="8"/>
  <c r="D39" i="8"/>
  <c r="E39" i="8"/>
  <c r="F39" i="8"/>
  <c r="G39" i="8"/>
  <c r="H39" i="8"/>
  <c r="I39" i="8"/>
  <c r="B40" i="8"/>
  <c r="C40" i="8"/>
  <c r="D40" i="8"/>
  <c r="E40" i="8"/>
  <c r="F40" i="8"/>
  <c r="G40" i="8"/>
  <c r="H40" i="8"/>
  <c r="I40" i="8"/>
  <c r="B41" i="8"/>
  <c r="C41" i="8"/>
  <c r="D41" i="8"/>
  <c r="E41" i="8"/>
  <c r="F41" i="8"/>
  <c r="G41" i="8"/>
  <c r="H41" i="8"/>
  <c r="I41" i="8"/>
  <c r="B42" i="8"/>
  <c r="C42" i="8"/>
  <c r="D42" i="8"/>
  <c r="E42" i="8"/>
  <c r="F42" i="8"/>
  <c r="G42" i="8"/>
  <c r="H42" i="8"/>
  <c r="I42" i="8"/>
  <c r="B43" i="8"/>
  <c r="C43" i="8"/>
  <c r="D43" i="8"/>
  <c r="E43" i="8"/>
  <c r="F43" i="8"/>
  <c r="G43" i="8"/>
  <c r="H43" i="8"/>
  <c r="I43" i="8"/>
  <c r="B3" i="7"/>
  <c r="H3" i="7"/>
  <c r="B4" i="7"/>
  <c r="C4" i="7"/>
  <c r="D4" i="7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B21" i="7"/>
  <c r="C21" i="7"/>
  <c r="D21" i="7"/>
  <c r="E21" i="7"/>
  <c r="F21" i="7"/>
  <c r="G21" i="7"/>
  <c r="H21" i="7"/>
  <c r="I21" i="7"/>
  <c r="B22" i="7"/>
  <c r="C22" i="7"/>
  <c r="D22" i="7"/>
  <c r="E22" i="7"/>
  <c r="F22" i="7"/>
  <c r="G22" i="7"/>
  <c r="H22" i="7"/>
  <c r="I22" i="7"/>
  <c r="B23" i="7"/>
  <c r="C23" i="7"/>
  <c r="D23" i="7"/>
  <c r="E23" i="7"/>
  <c r="F23" i="7"/>
  <c r="G23" i="7"/>
  <c r="H23" i="7"/>
  <c r="I23" i="7"/>
  <c r="B25" i="7"/>
  <c r="B26" i="7"/>
  <c r="B27" i="7"/>
  <c r="B28" i="7"/>
  <c r="B29" i="7"/>
  <c r="B31" i="7"/>
  <c r="C31" i="7"/>
  <c r="D31" i="7"/>
  <c r="E31" i="7"/>
  <c r="F31" i="7"/>
  <c r="G31" i="7"/>
  <c r="H31" i="7"/>
  <c r="I31" i="7"/>
  <c r="B32" i="7"/>
  <c r="B33" i="7"/>
  <c r="C33" i="7"/>
  <c r="D33" i="7"/>
  <c r="E33" i="7"/>
  <c r="F33" i="7"/>
  <c r="G33" i="7"/>
  <c r="H33" i="7"/>
  <c r="I33" i="7"/>
  <c r="B34" i="7"/>
  <c r="C34" i="7"/>
  <c r="D34" i="7"/>
  <c r="E34" i="7"/>
  <c r="F34" i="7"/>
  <c r="G34" i="7"/>
  <c r="H34" i="7"/>
  <c r="I34" i="7"/>
  <c r="B35" i="7"/>
  <c r="C35" i="7"/>
  <c r="D35" i="7"/>
  <c r="E35" i="7"/>
  <c r="F35" i="7"/>
  <c r="G35" i="7"/>
  <c r="H35" i="7"/>
  <c r="B36" i="7"/>
  <c r="C36" i="7"/>
  <c r="D36" i="7"/>
  <c r="E36" i="7"/>
  <c r="F36" i="7"/>
  <c r="G36" i="7"/>
  <c r="H36" i="7"/>
  <c r="I36" i="7"/>
  <c r="B37" i="7"/>
  <c r="C37" i="7"/>
  <c r="D37" i="7"/>
  <c r="E37" i="7"/>
  <c r="F37" i="7"/>
  <c r="G37" i="7"/>
  <c r="H37" i="7"/>
  <c r="I37" i="7"/>
  <c r="B39" i="7"/>
  <c r="C39" i="7"/>
  <c r="D39" i="7"/>
  <c r="E39" i="7"/>
  <c r="F39" i="7"/>
  <c r="G39" i="7"/>
  <c r="H39" i="7"/>
  <c r="I39" i="7"/>
  <c r="B40" i="7"/>
  <c r="C40" i="7"/>
  <c r="D40" i="7"/>
  <c r="E40" i="7"/>
  <c r="F40" i="7"/>
  <c r="G40" i="7"/>
  <c r="H40" i="7"/>
  <c r="I40" i="7"/>
  <c r="B41" i="7"/>
  <c r="C41" i="7"/>
  <c r="D41" i="7"/>
  <c r="E41" i="7"/>
  <c r="F41" i="7"/>
  <c r="G41" i="7"/>
  <c r="H41" i="7"/>
  <c r="I41" i="7"/>
  <c r="B42" i="7"/>
  <c r="C42" i="7"/>
  <c r="D42" i="7"/>
  <c r="E42" i="7"/>
  <c r="F42" i="7"/>
  <c r="G42" i="7"/>
  <c r="H42" i="7"/>
  <c r="I42" i="7"/>
  <c r="B43" i="7"/>
  <c r="C43" i="7"/>
  <c r="D43" i="7"/>
  <c r="E43" i="7"/>
  <c r="F43" i="7"/>
  <c r="G43" i="7"/>
  <c r="H43" i="7"/>
  <c r="I43" i="7"/>
  <c r="E3" i="5"/>
  <c r="J3" i="5" s="1"/>
  <c r="K3" i="5" s="1"/>
  <c r="E4" i="5"/>
  <c r="J4" i="5" s="1"/>
  <c r="K4" i="5" s="1"/>
  <c r="E5" i="5"/>
  <c r="J5" i="5" s="1"/>
  <c r="K5" i="5" s="1"/>
  <c r="E7" i="5"/>
  <c r="J7" i="5" s="1"/>
  <c r="K7" i="5" s="1"/>
  <c r="E8" i="5"/>
  <c r="J8" i="5" s="1"/>
  <c r="K8" i="5" s="1"/>
  <c r="E9" i="5"/>
  <c r="J9" i="5" s="1"/>
  <c r="K9" i="5" s="1"/>
  <c r="E10" i="5"/>
  <c r="J10" i="5" s="1"/>
  <c r="K10" i="5" s="1"/>
  <c r="E11" i="5"/>
  <c r="J11" i="5" s="1"/>
  <c r="K11" i="5" s="1"/>
  <c r="E12" i="5"/>
  <c r="J12" i="5" s="1"/>
  <c r="K12" i="5" s="1"/>
  <c r="E13" i="5"/>
  <c r="J13" i="5" s="1"/>
  <c r="K13" i="5" s="1"/>
  <c r="E14" i="5"/>
  <c r="J14" i="5" s="1"/>
  <c r="K14" i="5" s="1"/>
  <c r="E15" i="5"/>
  <c r="J15" i="5" s="1"/>
  <c r="K15" i="5" s="1"/>
  <c r="E16" i="5"/>
  <c r="J16" i="5" s="1"/>
  <c r="K16" i="5" s="1"/>
  <c r="E17" i="5"/>
  <c r="J17" i="5" s="1"/>
  <c r="K17" i="5" s="1"/>
  <c r="E18" i="5"/>
  <c r="J18" i="5" s="1"/>
  <c r="K18" i="5" s="1"/>
  <c r="E19" i="5"/>
  <c r="J19" i="5" s="1"/>
  <c r="K19" i="5" s="1"/>
  <c r="E20" i="5"/>
  <c r="J20" i="5" s="1"/>
  <c r="K20" i="5" s="1"/>
  <c r="E22" i="5"/>
  <c r="J22" i="5" s="1"/>
  <c r="K22" i="5" s="1"/>
  <c r="E23" i="5"/>
  <c r="J23" i="5" s="1"/>
  <c r="K23" i="5" s="1"/>
  <c r="E24" i="5"/>
  <c r="J24" i="5" s="1"/>
  <c r="K24" i="5" s="1"/>
  <c r="E26" i="5"/>
  <c r="J26" i="5" s="1"/>
  <c r="K26" i="5" s="1"/>
  <c r="E28" i="5"/>
  <c r="J28" i="5" s="1"/>
  <c r="K28" i="5" s="1"/>
  <c r="E29" i="5"/>
  <c r="J29" i="5" s="1"/>
  <c r="K29" i="5" s="1"/>
  <c r="E30" i="5"/>
  <c r="J30" i="5" s="1"/>
  <c r="K30" i="5" s="1"/>
  <c r="E31" i="5"/>
  <c r="J31" i="5" s="1"/>
  <c r="K31" i="5" s="1"/>
  <c r="E32" i="5"/>
  <c r="J32" i="5" s="1"/>
  <c r="K32" i="5" s="1"/>
  <c r="E33" i="5"/>
  <c r="J33" i="5" s="1"/>
  <c r="K33" i="5" s="1"/>
  <c r="E34" i="5"/>
  <c r="J34" i="5" s="1"/>
  <c r="K34" i="5" s="1"/>
  <c r="E36" i="5"/>
  <c r="J36" i="5" s="1"/>
  <c r="K36" i="5" s="1"/>
  <c r="E37" i="5"/>
  <c r="J37" i="5" s="1"/>
  <c r="K37" i="5" s="1"/>
  <c r="E38" i="5"/>
  <c r="J38" i="5" s="1"/>
  <c r="K38" i="5" s="1"/>
  <c r="E39" i="5"/>
  <c r="J39" i="5" s="1"/>
  <c r="K39" i="5" s="1"/>
  <c r="E40" i="5"/>
  <c r="E2" i="5"/>
  <c r="J2" i="5" s="1"/>
  <c r="L6" i="5"/>
  <c r="E6" i="5" s="1"/>
  <c r="J6" i="5" s="1"/>
  <c r="K6" i="5" s="1"/>
  <c r="E22" i="1"/>
  <c r="E25" i="1"/>
  <c r="E29" i="1" s="1"/>
  <c r="H14" i="2"/>
  <c r="F14" i="2" s="1"/>
  <c r="D14" i="2" s="1"/>
  <c r="H13" i="2"/>
  <c r="F13" i="2" s="1"/>
  <c r="D13" i="2" s="1"/>
  <c r="H11" i="2"/>
  <c r="H9" i="2"/>
  <c r="H6" i="2"/>
  <c r="H7" i="2"/>
  <c r="G24" i="2"/>
  <c r="G29" i="2" s="1"/>
  <c r="F28" i="2"/>
  <c r="E24" i="2"/>
  <c r="E29" i="2" s="1"/>
  <c r="F23" i="2"/>
  <c r="D23" i="2" s="1"/>
  <c r="F22" i="2"/>
  <c r="D22" i="2" s="1"/>
  <c r="F21" i="2"/>
  <c r="D21" i="2" s="1"/>
  <c r="F20" i="2"/>
  <c r="D20" i="2" s="1"/>
  <c r="F19" i="2"/>
  <c r="D19" i="2" s="1"/>
  <c r="F16" i="2"/>
  <c r="D16" i="2"/>
  <c r="F12" i="2"/>
  <c r="D12" i="2" s="1"/>
  <c r="F10" i="2"/>
  <c r="D10" i="2" s="1"/>
  <c r="F6" i="2"/>
  <c r="D6" i="2" s="1"/>
  <c r="D28" i="2"/>
  <c r="I17" i="2"/>
  <c r="I24" i="2" s="1"/>
  <c r="I29" i="2" s="1"/>
  <c r="H8" i="2"/>
  <c r="F8" i="2"/>
  <c r="D8" i="2" s="1"/>
  <c r="H5" i="2"/>
  <c r="F5" i="2" s="1"/>
  <c r="D5" i="2" s="1"/>
  <c r="D22" i="1"/>
  <c r="C29" i="2"/>
  <c r="F17" i="2" l="1"/>
  <c r="D17" i="2" s="1"/>
  <c r="H24" i="2"/>
  <c r="H29" i="2" s="1"/>
  <c r="F9" i="2"/>
  <c r="D9" i="2" s="1"/>
  <c r="D24" i="2" s="1"/>
  <c r="D29" i="2" s="1"/>
  <c r="B44" i="7"/>
  <c r="J41" i="5"/>
  <c r="K41" i="5" s="1"/>
  <c r="F24" i="2" l="1"/>
  <c r="F29" i="2" s="1"/>
  <c r="K40" i="5"/>
  <c r="J40" i="5"/>
  <c r="H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Nelson</author>
  </authors>
  <commentList>
    <comment ref="R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Emote: When you work is done, how did you feel  
1=very unhappy
5=very happy</t>
        </r>
      </text>
    </comment>
    <comment ref="S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Energy: When you work is done on this how do you feel
1= exhausted
5= energized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Nelson</author>
  </authors>
  <commentList>
    <comment ref="R2" authorId="0" shapeId="0" xr:uid="{FFA5EB26-F68E-4D95-892A-782A5D5F7779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Emote: When you work is done, how did you feel  
1=very unhappy
5=very happy</t>
        </r>
      </text>
    </comment>
    <comment ref="S2" authorId="0" shapeId="0" xr:uid="{B5C40859-4F89-4034-A079-E4C9B98A86B5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Energy: When you work is done on this how do you feel
1= exhausted
5= energized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Nelson</author>
  </authors>
  <commentList>
    <comment ref="R2" authorId="0" shapeId="0" xr:uid="{FFA5EB26-F68E-4D95-892A-782A5D5F7779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Emote: When you work is done, how did you feel  
1=very unhappy
5=very happy</t>
        </r>
      </text>
    </comment>
    <comment ref="S2" authorId="0" shapeId="0" xr:uid="{B5C40859-4F89-4034-A079-E4C9B98A86B5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Energy: When you work is done on this how do you feel
1= exhausted
5= energized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Aaron Nelson</author>
  </authors>
  <commentList>
    <comment ref="R2" authorId="0" shapeId="0" xr:uid="{FFA5EB26-F68E-4D95-892A-782A5D5F7779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Emote: When you work is done, how did you feel  
1=very unhappy
5=very happy</t>
        </r>
      </text>
    </comment>
    <comment ref="S2" authorId="0" shapeId="0" xr:uid="{B5C40859-4F89-4034-A079-E4C9B98A86B5}">
      <text>
        <r>
          <rPr>
            <b/>
            <sz val="9"/>
            <color indexed="81"/>
            <rFont val="Tahoma"/>
            <family val="2"/>
          </rPr>
          <t>Aaron Nelson:</t>
        </r>
        <r>
          <rPr>
            <sz val="9"/>
            <color indexed="81"/>
            <rFont val="Tahoma"/>
            <family val="2"/>
          </rPr>
          <t xml:space="preserve">
Energy: When you work is done on this how do you feel
1= exhausted
5= energized</t>
        </r>
      </text>
    </comment>
  </commentList>
</comments>
</file>

<file path=xl/sharedStrings.xml><?xml version="1.0" encoding="utf-8"?>
<sst xmlns="http://schemas.openxmlformats.org/spreadsheetml/2006/main" count="516" uniqueCount="219">
  <si>
    <t>NET REVENUE</t>
  </si>
  <si>
    <t>ATTENDANCE</t>
  </si>
  <si>
    <t>S.T.</t>
  </si>
  <si>
    <t>Cost</t>
  </si>
  <si>
    <t>Maj</t>
  </si>
  <si>
    <t>Connect</t>
  </si>
  <si>
    <t>Inform</t>
  </si>
  <si>
    <t>U Q</t>
  </si>
  <si>
    <t>Feb</t>
  </si>
  <si>
    <t>Annual Meeting</t>
  </si>
  <si>
    <t>Y</t>
  </si>
  <si>
    <t>April</t>
  </si>
  <si>
    <t>Community Bocce Derby</t>
  </si>
  <si>
    <t>-</t>
  </si>
  <si>
    <t>N</t>
  </si>
  <si>
    <t>Eggs with Elected Officials</t>
  </si>
  <si>
    <t>May</t>
  </si>
  <si>
    <t>BEAs (Business Excellence Awards)</t>
  </si>
  <si>
    <t>na</t>
  </si>
  <si>
    <t>Sept</t>
  </si>
  <si>
    <t>State of the Community Report + Conference</t>
  </si>
  <si>
    <t>Intercity Visit and Leadership Conference</t>
  </si>
  <si>
    <t>October</t>
  </si>
  <si>
    <t>Hendrick Golf Classic</t>
  </si>
  <si>
    <t>Nov/Aug</t>
  </si>
  <si>
    <t>Primetime Business Expo</t>
  </si>
  <si>
    <t>Dec</t>
  </si>
  <si>
    <t>Salute to Community Heroes</t>
  </si>
  <si>
    <t>Local Government Reception</t>
  </si>
  <si>
    <t>Often</t>
  </si>
  <si>
    <t>Business After Hours (FaceTime)</t>
  </si>
  <si>
    <t>50-100</t>
  </si>
  <si>
    <t>40-110</t>
  </si>
  <si>
    <t>28-85</t>
  </si>
  <si>
    <t>30-70</t>
  </si>
  <si>
    <t>50-80</t>
  </si>
  <si>
    <t>BiMonthly</t>
  </si>
  <si>
    <t>Public Policy Series</t>
  </si>
  <si>
    <t>50-90</t>
  </si>
  <si>
    <t>80-100</t>
  </si>
  <si>
    <t xml:space="preserve">Economic Outlook </t>
  </si>
  <si>
    <t>Raffle</t>
  </si>
  <si>
    <t>Spaces and Places (Development Briefing)</t>
  </si>
  <si>
    <t>Hall of Fame</t>
  </si>
  <si>
    <t>Carrboro Business Alliance</t>
  </si>
  <si>
    <t>NET PROMOTER SCORE</t>
  </si>
  <si>
    <t>State of the Community Report and Convo</t>
  </si>
  <si>
    <t>Performance Golf Classic</t>
  </si>
  <si>
    <t>not yet</t>
  </si>
  <si>
    <t>CEO Summit (x2)</t>
  </si>
  <si>
    <t>FaceTime (x10)</t>
  </si>
  <si>
    <t>CHYP (Chapel Hill Young Professionals) (x12)</t>
  </si>
  <si>
    <t>Non Profit Roundtable (x12)</t>
  </si>
  <si>
    <t>Retail Roundtable (x11)</t>
  </si>
  <si>
    <t>Taking Care of Business (x12)</t>
  </si>
  <si>
    <t>OCHAR Events</t>
  </si>
  <si>
    <t>Leadership Chapel Hill Carrboro</t>
  </si>
  <si>
    <t>2017 Event Discussion</t>
  </si>
  <si>
    <t>AMN</t>
  </si>
  <si>
    <t>Net Rev</t>
  </si>
  <si>
    <t>Expense</t>
  </si>
  <si>
    <t>Revenue</t>
  </si>
  <si>
    <t>Reg</t>
  </si>
  <si>
    <t>M Dues</t>
  </si>
  <si>
    <t>Sponsor</t>
  </si>
  <si>
    <t>2017 Att</t>
  </si>
  <si>
    <t>Price</t>
  </si>
  <si>
    <t>Sponsorship Credits</t>
  </si>
  <si>
    <t>Annual Ticket Allocation</t>
  </si>
  <si>
    <r>
      <rPr>
        <b/>
        <sz val="11"/>
        <color theme="1"/>
        <rFont val="Calibri"/>
        <family val="2"/>
        <scheme val="minor"/>
      </rPr>
      <t>Annual Meeting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</si>
  <si>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>Community Planning Conference and Intra-city Visit</t>
    </r>
    <r>
      <rPr>
        <sz val="11"/>
        <color theme="1"/>
        <rFont val="Calibri"/>
        <family val="2"/>
        <scheme val="minor"/>
      </rPr>
      <t xml:space="preserve"> (State of the Community, Tour, breakouts, P&amp;S)</t>
    </r>
  </si>
  <si>
    <t>State of the Community</t>
  </si>
  <si>
    <r>
      <rPr>
        <b/>
        <sz val="11"/>
        <color theme="1"/>
        <rFont val="Calibri"/>
        <family val="2"/>
        <scheme val="minor"/>
      </rPr>
      <t>BEAs</t>
    </r>
    <r>
      <rPr>
        <sz val="11"/>
        <color theme="1"/>
        <rFont val="Calibri"/>
        <family val="2"/>
        <scheme val="minor"/>
      </rPr>
      <t xml:space="preserve"> (Business Excellence Awards)</t>
    </r>
  </si>
  <si>
    <r>
      <t xml:space="preserve">EXPO 2017 </t>
    </r>
    <r>
      <rPr>
        <sz val="11"/>
        <color theme="1"/>
        <rFont val="Calibri"/>
        <family val="2"/>
        <scheme val="minor"/>
      </rPr>
      <t>(expo (1:250), raffle, performance, speakers)</t>
    </r>
  </si>
  <si>
    <r>
      <rPr>
        <b/>
        <sz val="11"/>
        <color theme="1"/>
        <rFont val="Calibri"/>
        <family val="2"/>
        <scheme val="minor"/>
      </rPr>
      <t>Performance Golf Classic</t>
    </r>
    <r>
      <rPr>
        <sz val="11"/>
        <color theme="1"/>
        <rFont val="Calibri"/>
        <family val="2"/>
        <scheme val="minor"/>
      </rPr>
      <t xml:space="preserve"> (celebrity putters, more sponsors)</t>
    </r>
  </si>
  <si>
    <t>Performance reception</t>
  </si>
  <si>
    <t>Community Bocce Derby (cooler time of year)</t>
  </si>
  <si>
    <t>Bocce Super Fan</t>
  </si>
  <si>
    <r>
      <t xml:space="preserve">Heroes and Leaders Brunch </t>
    </r>
    <r>
      <rPr>
        <sz val="11"/>
        <color theme="1"/>
        <rFont val="Calibri"/>
        <family val="2"/>
        <scheme val="minor"/>
      </rPr>
      <t>(elected and uniformed)</t>
    </r>
  </si>
  <si>
    <r>
      <rPr>
        <b/>
        <sz val="11"/>
        <color theme="1"/>
        <rFont val="Calibri"/>
        <family val="2"/>
        <scheme val="minor"/>
      </rPr>
      <t>CEO Summit</t>
    </r>
    <r>
      <rPr>
        <sz val="11"/>
        <color theme="1"/>
        <rFont val="Calibri"/>
        <family val="2"/>
        <scheme val="minor"/>
      </rPr>
      <t xml:space="preserve"> (x2) (habitat sold for $1,200 counts toward 2017?)</t>
    </r>
  </si>
  <si>
    <r>
      <rPr>
        <b/>
        <sz val="11"/>
        <color theme="1"/>
        <rFont val="Calibri"/>
        <family val="2"/>
        <scheme val="minor"/>
      </rPr>
      <t>FaceTime</t>
    </r>
    <r>
      <rPr>
        <sz val="11"/>
        <color theme="1"/>
        <rFont val="Calibri"/>
        <family val="2"/>
        <scheme val="minor"/>
      </rPr>
      <t xml:space="preserve"> (x6)</t>
    </r>
  </si>
  <si>
    <r>
      <rPr>
        <b/>
        <sz val="11"/>
        <color theme="1"/>
        <rFont val="Calibri"/>
        <family val="2"/>
        <scheme val="minor"/>
      </rPr>
      <t>Economic Development and Public Policy</t>
    </r>
    <r>
      <rPr>
        <sz val="11"/>
        <color theme="1"/>
        <rFont val="Calibri"/>
        <family val="2"/>
        <scheme val="minor"/>
      </rPr>
      <t xml:space="preserve"> (x12)</t>
    </r>
  </si>
  <si>
    <r>
      <rPr>
        <b/>
        <sz val="11"/>
        <color theme="1"/>
        <rFont val="Calibri"/>
        <family val="2"/>
        <scheme val="minor"/>
      </rPr>
      <t>CHYP</t>
    </r>
    <r>
      <rPr>
        <sz val="11"/>
        <color theme="1"/>
        <rFont val="Calibri"/>
        <family val="2"/>
        <scheme val="minor"/>
      </rPr>
      <t xml:space="preserve"> (Chapel Hill Young Professionals) (x12)</t>
    </r>
  </si>
  <si>
    <t>40/200</t>
  </si>
  <si>
    <r>
      <rPr>
        <b/>
        <sz val="11"/>
        <color theme="1"/>
        <rFont val="Calibri"/>
        <family val="2"/>
        <scheme val="minor"/>
      </rPr>
      <t>Non Profit Roundtable</t>
    </r>
    <r>
      <rPr>
        <sz val="11"/>
        <color theme="1"/>
        <rFont val="Calibri"/>
        <family val="2"/>
        <scheme val="minor"/>
      </rPr>
      <t xml:space="preserve"> (x12)</t>
    </r>
  </si>
  <si>
    <r>
      <rPr>
        <b/>
        <sz val="11"/>
        <color theme="1"/>
        <rFont val="Calibri"/>
        <family val="2"/>
        <scheme val="minor"/>
      </rPr>
      <t>Retail Roundtable</t>
    </r>
    <r>
      <rPr>
        <sz val="11"/>
        <color theme="1"/>
        <rFont val="Calibri"/>
        <family val="2"/>
        <scheme val="minor"/>
      </rPr>
      <t xml:space="preserve"> (x11)</t>
    </r>
  </si>
  <si>
    <r>
      <rPr>
        <b/>
        <sz val="11"/>
        <color theme="1"/>
        <rFont val="Calibri"/>
        <family val="2"/>
        <scheme val="minor"/>
      </rPr>
      <t>Taking Care of Business</t>
    </r>
    <r>
      <rPr>
        <sz val="11"/>
        <color theme="1"/>
        <rFont val="Calibri"/>
        <family val="2"/>
        <scheme val="minor"/>
      </rPr>
      <t xml:space="preserve"> (x12)</t>
    </r>
  </si>
  <si>
    <t>An Event to Raise Money</t>
  </si>
  <si>
    <t>?</t>
  </si>
  <si>
    <r>
      <rPr>
        <b/>
        <sz val="11"/>
        <color theme="1"/>
        <rFont val="Calibri"/>
        <family val="2"/>
        <scheme val="minor"/>
      </rPr>
      <t xml:space="preserve">Intercity Visit and Leadership Conference </t>
    </r>
    <r>
      <rPr>
        <sz val="11"/>
        <color theme="1"/>
        <rFont val="Calibri"/>
        <family val="2"/>
        <scheme val="minor"/>
      </rPr>
      <t>(biannual)</t>
    </r>
  </si>
  <si>
    <t>in 2016</t>
  </si>
  <si>
    <t>Advertising discount</t>
  </si>
  <si>
    <t>Leadership Discount</t>
  </si>
  <si>
    <t>CHYP Membership</t>
  </si>
  <si>
    <t>infinti</t>
  </si>
  <si>
    <t>TIME</t>
  </si>
  <si>
    <t>Dickenson</t>
  </si>
  <si>
    <t>Total</t>
  </si>
  <si>
    <t>Plan and Prep (Solo)</t>
  </si>
  <si>
    <t>Meetings</t>
  </si>
  <si>
    <t>Sales</t>
  </si>
  <si>
    <t>writing and designing</t>
  </si>
  <si>
    <t>Marketing</t>
  </si>
  <si>
    <t>Event Day</t>
  </si>
  <si>
    <t>wrap up</t>
  </si>
  <si>
    <t>Emote</t>
  </si>
  <si>
    <t>Energy</t>
  </si>
  <si>
    <t>multiplier</t>
  </si>
  <si>
    <t>Staff Meeting</t>
  </si>
  <si>
    <t>Leadership Chapel Hill Carrboro (minus sessions)</t>
  </si>
  <si>
    <t>Eggs with Elected Officials (policy series)</t>
  </si>
  <si>
    <t>Coffee with Candidates (policy series)</t>
  </si>
  <si>
    <t xml:space="preserve">Business After Hours </t>
  </si>
  <si>
    <t>g</t>
  </si>
  <si>
    <t>Public Policy Series (minus Eggs and Coffee)</t>
  </si>
  <si>
    <t>Government Affairs Committee</t>
  </si>
  <si>
    <t>Finance Committee</t>
  </si>
  <si>
    <t>Executive Committee</t>
  </si>
  <si>
    <t>Board Meeting</t>
  </si>
  <si>
    <t>Membership Committee</t>
  </si>
  <si>
    <t>CHYP</t>
  </si>
  <si>
    <t>Ambassadors</t>
  </si>
  <si>
    <t>Non Profit Roundtable</t>
  </si>
  <si>
    <t>b</t>
  </si>
  <si>
    <t>Retail Roundtable</t>
  </si>
  <si>
    <t>Central Carolina Women in Business</t>
  </si>
  <si>
    <t>Taking Care of Business</t>
  </si>
  <si>
    <t>Connect the Dots newsletter</t>
  </si>
  <si>
    <t>Email Newsletter</t>
  </si>
  <si>
    <t>Website</t>
  </si>
  <si>
    <t>Social Media</t>
  </si>
  <si>
    <t xml:space="preserve">New Member recruitment </t>
  </si>
  <si>
    <t>Vanessa</t>
  </si>
  <si>
    <t>Plan and Prep (solo)</t>
  </si>
  <si>
    <t xml:space="preserve">Meetings </t>
  </si>
  <si>
    <t>Writing and Designing</t>
  </si>
  <si>
    <t>The Event Day</t>
  </si>
  <si>
    <t>Wrap Up</t>
  </si>
  <si>
    <t>Staff Meeting (Weekly)</t>
  </si>
  <si>
    <t>Leadership Chapel Hill Carrboro Individual Session</t>
  </si>
  <si>
    <t>Public Policy Series (minues eggs and coffee)</t>
  </si>
  <si>
    <t>Government Affairs Committee (monthly)</t>
  </si>
  <si>
    <t>Finance Committee (monthly)</t>
  </si>
  <si>
    <t>Executive Committee (monthly)</t>
  </si>
  <si>
    <t>Board Meeting (monthly)</t>
  </si>
  <si>
    <t>Membership Committee (monthly)</t>
  </si>
  <si>
    <t>CHYP (Monthly)</t>
  </si>
  <si>
    <t>Ambassadors (Monthy)</t>
  </si>
  <si>
    <t>Non Profit Roundtable (monthly)</t>
  </si>
  <si>
    <t>Retail Roundtable (monthly)</t>
  </si>
  <si>
    <t>Central Carolina Women in Business (monthly</t>
  </si>
  <si>
    <t>Carrboro Business Alliance (monthly)</t>
  </si>
  <si>
    <t>Taking Care of Business (monthly)</t>
  </si>
  <si>
    <t>Connect the Dots newsletter (monthly)</t>
  </si>
  <si>
    <t>Email Newsletter (monthly)</t>
  </si>
  <si>
    <t>Website (weekly)</t>
  </si>
  <si>
    <t>Social Media (weekly)</t>
  </si>
  <si>
    <t>New Member recruitment (weekly)</t>
  </si>
  <si>
    <t>Nickb</t>
  </si>
  <si>
    <t>Non Profit Roundtable (every other month)</t>
  </si>
  <si>
    <t>Rebecca</t>
  </si>
  <si>
    <t>Justin Simmons</t>
  </si>
  <si>
    <t>NPS</t>
  </si>
  <si>
    <t>Event 1</t>
  </si>
  <si>
    <t>Event 2</t>
  </si>
  <si>
    <t>cancelled</t>
  </si>
  <si>
    <t>online</t>
  </si>
  <si>
    <t>May-Aug</t>
  </si>
  <si>
    <t>Leadership Chapel Hill Carrboro (Foundation)</t>
  </si>
  <si>
    <t>Business After Hours</t>
  </si>
  <si>
    <t>ticket $</t>
  </si>
  <si>
    <t>frequency</t>
  </si>
  <si>
    <t>NET REVENUE (Income minus expense, staff time not included)</t>
  </si>
  <si>
    <t xml:space="preserve">ATTENDANCE </t>
  </si>
  <si>
    <t>Staff Time Intensity (1-5)</t>
  </si>
  <si>
    <t>Est Staff Hours</t>
  </si>
  <si>
    <t>Connects Members</t>
  </si>
  <si>
    <t>Informs Members</t>
  </si>
  <si>
    <t>Uniquely Qualified</t>
  </si>
  <si>
    <t>Business Women's Program/Event</t>
  </si>
  <si>
    <t>Alignment (R, Y, G)</t>
  </si>
  <si>
    <t>Dis-continued Programs</t>
  </si>
  <si>
    <t>cancel</t>
  </si>
  <si>
    <t>EVENT NET PROMOTER SCORE (Goal = 60)</t>
  </si>
  <si>
    <t>Date</t>
  </si>
  <si>
    <t>Event</t>
  </si>
  <si>
    <t>Women's Event</t>
  </si>
  <si>
    <t>Golf Event</t>
  </si>
  <si>
    <t>Chamber Goal 1</t>
  </si>
  <si>
    <t>Chamber Goal 2</t>
  </si>
  <si>
    <t xml:space="preserve"> Alignment w Chamber Goals (Red, Yellow, Green)</t>
  </si>
  <si>
    <t>NET REVENUE (Not including staff time)</t>
  </si>
  <si>
    <t>Awards Event</t>
  </si>
  <si>
    <t>60% - 20% = 40</t>
  </si>
  <si>
    <t>30% - 20% = 10</t>
  </si>
  <si>
    <t>70% - 10% = 60</t>
  </si>
  <si>
    <t>40% - 30% = 10</t>
  </si>
  <si>
    <t>Employee 1</t>
  </si>
  <si>
    <t>2016 STAFF TIME ON TASK</t>
  </si>
  <si>
    <t>Employee 2</t>
  </si>
  <si>
    <t>Employee 3</t>
  </si>
  <si>
    <t>Employee 4</t>
  </si>
  <si>
    <t>Employee 5</t>
  </si>
  <si>
    <t>Employee 6</t>
  </si>
  <si>
    <t>Employee 7</t>
  </si>
  <si>
    <t>hours x ave cost/hr</t>
  </si>
  <si>
    <t>On a Scale from 0-10, How likely is it that you would refer a friend or colleague to attend this event [or insert event name] next year?</t>
  </si>
  <si>
    <t>On a Scale from 0-10, How likely is it that you would refer a friend or colleague to join the Chamber of Commerce?</t>
  </si>
  <si>
    <t>Helpful link</t>
  </si>
  <si>
    <t>EVENT NET PROMOTER SCORE (NPS)</t>
  </si>
  <si>
    <t>Leadership Program</t>
  </si>
  <si>
    <t>canc</t>
  </si>
  <si>
    <t>EXAMPLE</t>
  </si>
  <si>
    <t>January</t>
  </si>
  <si>
    <t>March</t>
  </si>
  <si>
    <t>June</t>
  </si>
  <si>
    <t>December</t>
  </si>
  <si>
    <t>Hall of Fame (cancelled)</t>
  </si>
  <si>
    <t>Covid canc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</si>
</sst>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Wingdings"/>
      <charset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Wingdings"/>
      <charset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4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164" fontId="0" fillId="0" borderId="0" xfId="0" applyNumberFormat="1"/>
    <xf numFmtId="6" fontId="0" fillId="0" borderId="0" xfId="0" applyNumberFormat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9" fontId="0" fillId="0" borderId="0" xfId="0" applyNumberFormat="1"/>
    <xf numFmtId="9" fontId="2" fillId="0" borderId="1" xfId="0" quotePrefix="1" applyNumberFormat="1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6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6" fontId="4" fillId="0" borderId="7" xfId="0" applyNumberFormat="1" applyFont="1" applyBorder="1"/>
    <xf numFmtId="6" fontId="4" fillId="0" borderId="1" xfId="0" applyNumberFormat="1" applyFont="1" applyBorder="1"/>
    <xf numFmtId="1" fontId="4" fillId="0" borderId="7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6" fontId="4" fillId="0" borderId="8" xfId="0" applyNumberFormat="1" applyFont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6" fontId="4" fillId="0" borderId="7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6" fontId="4" fillId="0" borderId="9" xfId="0" applyNumberFormat="1" applyFont="1" applyBorder="1"/>
    <xf numFmtId="6" fontId="4" fillId="0" borderId="0" xfId="0" applyNumberFormat="1" applyFont="1"/>
    <xf numFmtId="1" fontId="4" fillId="0" borderId="9" xfId="0" applyNumberFormat="1" applyFont="1" applyBorder="1"/>
    <xf numFmtId="1" fontId="4" fillId="0" borderId="0" xfId="0" applyNumberFormat="1" applyFont="1"/>
    <xf numFmtId="1" fontId="4" fillId="0" borderId="10" xfId="0" applyNumberFormat="1" applyFont="1" applyBorder="1"/>
    <xf numFmtId="164" fontId="4" fillId="0" borderId="0" xfId="0" applyNumberFormat="1" applyFont="1"/>
    <xf numFmtId="9" fontId="4" fillId="0" borderId="0" xfId="0" applyNumberFormat="1" applyFont="1"/>
    <xf numFmtId="6" fontId="4" fillId="0" borderId="10" xfId="0" applyNumberFormat="1" applyFont="1" applyBorder="1"/>
    <xf numFmtId="6" fontId="4" fillId="0" borderId="1" xfId="0" applyNumberFormat="1" applyFont="1" applyBorder="1" applyAlignment="1">
      <alignment horizontal="center"/>
    </xf>
    <xf numFmtId="6" fontId="4" fillId="0" borderId="11" xfId="0" applyNumberFormat="1" applyFont="1" applyBorder="1"/>
    <xf numFmtId="6" fontId="4" fillId="0" borderId="12" xfId="0" applyNumberFormat="1" applyFont="1" applyBorder="1"/>
    <xf numFmtId="6" fontId="4" fillId="0" borderId="13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6" fontId="2" fillId="8" borderId="15" xfId="0" applyNumberFormat="1" applyFont="1" applyFill="1" applyBorder="1"/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6" fontId="1" fillId="6" borderId="15" xfId="0" applyNumberFormat="1" applyFont="1" applyFill="1" applyBorder="1" applyAlignment="1">
      <alignment horizontal="center"/>
    </xf>
    <xf numFmtId="0" fontId="7" fillId="0" borderId="0" xfId="0" applyFont="1"/>
    <xf numFmtId="164" fontId="8" fillId="0" borderId="1" xfId="0" quotePrefix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/>
    </xf>
    <xf numFmtId="6" fontId="2" fillId="0" borderId="2" xfId="0" applyNumberFormat="1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164" fontId="8" fillId="0" borderId="2" xfId="0" quotePrefix="1" applyNumberFormat="1" applyFont="1" applyBorder="1" applyAlignment="1">
      <alignment horizontal="center"/>
    </xf>
    <xf numFmtId="6" fontId="9" fillId="0" borderId="0" xfId="0" applyNumberFormat="1" applyFont="1"/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38" fontId="0" fillId="0" borderId="2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38" fontId="0" fillId="0" borderId="1" xfId="0" applyNumberFormat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38" fontId="0" fillId="0" borderId="8" xfId="0" applyNumberFormat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38" fontId="0" fillId="0" borderId="26" xfId="0" applyNumberFormat="1" applyBorder="1" applyAlignment="1">
      <alignment horizontal="center"/>
    </xf>
    <xf numFmtId="38" fontId="0" fillId="0" borderId="14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38" fontId="0" fillId="0" borderId="4" xfId="0" applyNumberFormat="1" applyBorder="1" applyAlignment="1">
      <alignment horizontal="center"/>
    </xf>
    <xf numFmtId="38" fontId="0" fillId="0" borderId="18" xfId="0" applyNumberFormat="1" applyBorder="1" applyAlignment="1">
      <alignment horizontal="center"/>
    </xf>
    <xf numFmtId="38" fontId="0" fillId="0" borderId="24" xfId="0" applyNumberFormat="1" applyBorder="1" applyAlignment="1">
      <alignment horizontal="center"/>
    </xf>
    <xf numFmtId="38" fontId="0" fillId="0" borderId="25" xfId="0" applyNumberFormat="1" applyBorder="1" applyAlignment="1">
      <alignment horizontal="center"/>
    </xf>
    <xf numFmtId="38" fontId="0" fillId="0" borderId="21" xfId="0" applyNumberFormat="1" applyBorder="1" applyAlignment="1">
      <alignment horizontal="center"/>
    </xf>
    <xf numFmtId="38" fontId="0" fillId="0" borderId="11" xfId="0" applyNumberFormat="1" applyBorder="1" applyAlignment="1">
      <alignment horizontal="center"/>
    </xf>
    <xf numFmtId="38" fontId="0" fillId="0" borderId="12" xfId="0" applyNumberFormat="1" applyBorder="1" applyAlignment="1">
      <alignment horizontal="center"/>
    </xf>
    <xf numFmtId="38" fontId="0" fillId="0" borderId="13" xfId="0" applyNumberFormat="1" applyBorder="1" applyAlignment="1">
      <alignment horizontal="center"/>
    </xf>
    <xf numFmtId="38" fontId="1" fillId="6" borderId="1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6" fontId="2" fillId="0" borderId="21" xfId="0" applyNumberFormat="1" applyFont="1" applyBorder="1" applyAlignment="1">
      <alignment horizontal="center"/>
    </xf>
    <xf numFmtId="0" fontId="2" fillId="0" borderId="23" xfId="0" quotePrefix="1" applyFont="1" applyBorder="1" applyAlignment="1">
      <alignment horizontal="center"/>
    </xf>
    <xf numFmtId="3" fontId="2" fillId="0" borderId="2" xfId="0" quotePrefix="1" applyNumberFormat="1" applyFont="1" applyBorder="1" applyAlignment="1">
      <alignment horizontal="center"/>
    </xf>
    <xf numFmtId="0" fontId="2" fillId="0" borderId="21" xfId="0" applyFont="1" applyBorder="1" applyAlignment="1">
      <alignment horizontal="right" wrapText="1"/>
    </xf>
    <xf numFmtId="164" fontId="8" fillId="0" borderId="23" xfId="0" quotePrefix="1" applyNumberFormat="1" applyFont="1" applyBorder="1" applyAlignment="1">
      <alignment horizontal="center"/>
    </xf>
    <xf numFmtId="3" fontId="2" fillId="0" borderId="23" xfId="0" quotePrefix="1" applyNumberFormat="1" applyFont="1" applyBorder="1" applyAlignment="1">
      <alignment horizontal="center"/>
    </xf>
    <xf numFmtId="6" fontId="2" fillId="0" borderId="30" xfId="0" applyNumberFormat="1" applyFont="1" applyBorder="1" applyAlignment="1">
      <alignment horizontal="center"/>
    </xf>
    <xf numFmtId="6" fontId="2" fillId="0" borderId="19" xfId="0" applyNumberFormat="1" applyFont="1" applyBorder="1" applyAlignment="1">
      <alignment horizontal="center"/>
    </xf>
    <xf numFmtId="6" fontId="2" fillId="0" borderId="20" xfId="0" applyNumberFormat="1" applyFont="1" applyBorder="1" applyAlignment="1">
      <alignment horizontal="center"/>
    </xf>
    <xf numFmtId="38" fontId="0" fillId="0" borderId="28" xfId="0" applyNumberFormat="1" applyBorder="1" applyAlignment="1">
      <alignment horizontal="center"/>
    </xf>
    <xf numFmtId="38" fontId="0" fillId="0" borderId="3" xfId="0" applyNumberFormat="1" applyBorder="1" applyAlignment="1">
      <alignment horizontal="center"/>
    </xf>
    <xf numFmtId="38" fontId="0" fillId="0" borderId="27" xfId="0" applyNumberFormat="1" applyBorder="1" applyAlignment="1">
      <alignment horizontal="center"/>
    </xf>
    <xf numFmtId="38" fontId="0" fillId="0" borderId="29" xfId="0" applyNumberFormat="1" applyBorder="1" applyAlignment="1">
      <alignment horizontal="center"/>
    </xf>
    <xf numFmtId="0" fontId="0" fillId="0" borderId="31" xfId="0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6" fontId="2" fillId="0" borderId="32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164" fontId="2" fillId="0" borderId="23" xfId="0" quotePrefix="1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6" fontId="2" fillId="0" borderId="34" xfId="0" applyNumberFormat="1" applyFont="1" applyBorder="1" applyAlignment="1">
      <alignment horizontal="center"/>
    </xf>
    <xf numFmtId="0" fontId="2" fillId="0" borderId="34" xfId="0" quotePrefix="1" applyFont="1" applyBorder="1" applyAlignment="1">
      <alignment horizontal="center"/>
    </xf>
    <xf numFmtId="164" fontId="2" fillId="0" borderId="35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9" fontId="1" fillId="0" borderId="1" xfId="0" applyNumberFormat="1" applyFont="1" applyBorder="1" applyAlignment="1">
      <alignment horizontal="center"/>
    </xf>
    <xf numFmtId="164" fontId="2" fillId="0" borderId="31" xfId="0" quotePrefix="1" applyNumberFormat="1" applyFont="1" applyBorder="1" applyAlignment="1">
      <alignment horizontal="center"/>
    </xf>
    <xf numFmtId="6" fontId="6" fillId="0" borderId="1" xfId="0" applyNumberFormat="1" applyFont="1" applyBorder="1" applyAlignment="1">
      <alignment horizontal="center"/>
    </xf>
    <xf numFmtId="6" fontId="2" fillId="8" borderId="1" xfId="0" applyNumberFormat="1" applyFont="1" applyFill="1" applyBorder="1" applyAlignment="1">
      <alignment horizontal="center"/>
    </xf>
    <xf numFmtId="6" fontId="2" fillId="8" borderId="1" xfId="0" applyNumberFormat="1" applyFont="1" applyFill="1" applyBorder="1"/>
    <xf numFmtId="6" fontId="0" fillId="0" borderId="36" xfId="0" applyNumberFormat="1" applyBorder="1"/>
    <xf numFmtId="6" fontId="0" fillId="0" borderId="37" xfId="0" applyNumberFormat="1" applyBorder="1"/>
    <xf numFmtId="0" fontId="10" fillId="0" borderId="1" xfId="0" applyFont="1" applyBorder="1"/>
    <xf numFmtId="165" fontId="10" fillId="0" borderId="0" xfId="0" applyNumberFormat="1" applyFont="1"/>
    <xf numFmtId="0" fontId="10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6" fontId="10" fillId="0" borderId="0" xfId="0" applyNumberFormat="1" applyFont="1"/>
    <xf numFmtId="164" fontId="10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8" borderId="1" xfId="0" applyFont="1" applyFill="1" applyBorder="1"/>
    <xf numFmtId="0" fontId="0" fillId="0" borderId="28" xfId="0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13" borderId="1" xfId="0" applyFont="1" applyFill="1" applyBorder="1"/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14" borderId="0" xfId="0" applyFill="1" applyAlignment="1">
      <alignment horizontal="center" vertical="center"/>
    </xf>
    <xf numFmtId="0" fontId="0" fillId="14" borderId="1" xfId="0" applyFill="1" applyBorder="1"/>
    <xf numFmtId="0" fontId="0" fillId="14" borderId="0" xfId="0" applyFill="1"/>
    <xf numFmtId="0" fontId="0" fillId="14" borderId="1" xfId="0" applyFill="1" applyBorder="1" applyAlignment="1">
      <alignment horizontal="center" vertical="center"/>
    </xf>
    <xf numFmtId="0" fontId="4" fillId="14" borderId="1" xfId="0" applyFont="1" applyFill="1" applyBorder="1"/>
    <xf numFmtId="0" fontId="14" fillId="0" borderId="1" xfId="0" applyFont="1" applyBorder="1" applyAlignment="1">
      <alignment horizontal="center" vertical="center"/>
    </xf>
    <xf numFmtId="164" fontId="17" fillId="0" borderId="1" xfId="0" applyNumberFormat="1" applyFont="1" applyBorder="1"/>
    <xf numFmtId="164" fontId="17" fillId="0" borderId="0" xfId="0" applyNumberFormat="1" applyFont="1"/>
    <xf numFmtId="164" fontId="17" fillId="13" borderId="1" xfId="0" applyNumberFormat="1" applyFont="1" applyFill="1" applyBorder="1"/>
    <xf numFmtId="0" fontId="4" fillId="0" borderId="0" xfId="0" applyFont="1"/>
    <xf numFmtId="0" fontId="0" fillId="0" borderId="34" xfId="0" applyBorder="1"/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4" fillId="15" borderId="8" xfId="0" applyNumberFormat="1" applyFont="1" applyFill="1" applyBorder="1" applyAlignment="1">
      <alignment horizontal="center"/>
    </xf>
    <xf numFmtId="0" fontId="2" fillId="15" borderId="4" xfId="0" applyFont="1" applyFill="1" applyBorder="1"/>
    <xf numFmtId="0" fontId="18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1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164" fontId="4" fillId="15" borderId="1" xfId="0" applyNumberFormat="1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15" borderId="2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8" fontId="2" fillId="0" borderId="39" xfId="0" applyNumberFormat="1" applyFont="1" applyBorder="1"/>
    <xf numFmtId="1" fontId="4" fillId="15" borderId="41" xfId="0" applyNumberFormat="1" applyFont="1" applyFill="1" applyBorder="1" applyAlignment="1">
      <alignment horizontal="center"/>
    </xf>
    <xf numFmtId="1" fontId="4" fillId="15" borderId="42" xfId="0" applyNumberFormat="1" applyFont="1" applyFill="1" applyBorder="1" applyAlignment="1">
      <alignment horizontal="center"/>
    </xf>
    <xf numFmtId="0" fontId="1" fillId="0" borderId="24" xfId="0" applyFont="1" applyBorder="1"/>
    <xf numFmtId="0" fontId="3" fillId="11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4" fillId="4" borderId="41" xfId="0" applyNumberFormat="1" applyFont="1" applyFill="1" applyBorder="1" applyAlignment="1">
      <alignment horizontal="center"/>
    </xf>
    <xf numFmtId="6" fontId="4" fillId="0" borderId="39" xfId="0" applyNumberFormat="1" applyFont="1" applyBorder="1"/>
    <xf numFmtId="6" fontId="4" fillId="0" borderId="40" xfId="0" applyNumberFormat="1" applyFont="1" applyBorder="1"/>
    <xf numFmtId="1" fontId="4" fillId="0" borderId="39" xfId="0" applyNumberFormat="1" applyFont="1" applyBorder="1" applyAlignment="1">
      <alignment horizontal="center"/>
    </xf>
    <xf numFmtId="1" fontId="4" fillId="9" borderId="39" xfId="0" applyNumberFormat="1" applyFont="1" applyFill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6" fontId="4" fillId="15" borderId="1" xfId="0" applyNumberFormat="1" applyFont="1" applyFill="1" applyBorder="1"/>
    <xf numFmtId="6" fontId="4" fillId="15" borderId="1" xfId="0" applyNumberFormat="1" applyFont="1" applyFill="1" applyBorder="1" applyAlignment="1">
      <alignment horizontal="center"/>
    </xf>
    <xf numFmtId="6" fontId="4" fillId="12" borderId="1" xfId="0" applyNumberFormat="1" applyFont="1" applyFill="1" applyBorder="1" applyAlignment="1">
      <alignment horizontal="center"/>
    </xf>
    <xf numFmtId="6" fontId="18" fillId="12" borderId="1" xfId="0" applyNumberFormat="1" applyFont="1" applyFill="1" applyBorder="1" applyAlignment="1">
      <alignment horizontal="center"/>
    </xf>
    <xf numFmtId="6" fontId="4" fillId="15" borderId="41" xfId="0" applyNumberFormat="1" applyFont="1" applyFill="1" applyBorder="1"/>
    <xf numFmtId="6" fontId="4" fillId="15" borderId="41" xfId="0" applyNumberFormat="1" applyFont="1" applyFill="1" applyBorder="1" applyAlignment="1">
      <alignment horizontal="center"/>
    </xf>
    <xf numFmtId="6" fontId="2" fillId="16" borderId="39" xfId="0" applyNumberFormat="1" applyFont="1" applyFill="1" applyBorder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6" fontId="4" fillId="12" borderId="7" xfId="0" applyNumberFormat="1" applyFont="1" applyFill="1" applyBorder="1"/>
    <xf numFmtId="6" fontId="4" fillId="12" borderId="1" xfId="0" applyNumberFormat="1" applyFont="1" applyFill="1" applyBorder="1"/>
    <xf numFmtId="6" fontId="18" fillId="12" borderId="7" xfId="0" applyNumberFormat="1" applyFont="1" applyFill="1" applyBorder="1"/>
    <xf numFmtId="6" fontId="18" fillId="12" borderId="1" xfId="0" applyNumberFormat="1" applyFont="1" applyFill="1" applyBorder="1"/>
    <xf numFmtId="6" fontId="4" fillId="12" borderId="7" xfId="0" applyNumberFormat="1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1" xfId="0" quotePrefix="1" applyFont="1" applyFill="1" applyBorder="1" applyAlignment="1">
      <alignment horizontal="center"/>
    </xf>
    <xf numFmtId="0" fontId="2" fillId="18" borderId="8" xfId="0" quotePrefix="1" applyFont="1" applyFill="1" applyBorder="1" applyAlignment="1">
      <alignment horizontal="center"/>
    </xf>
    <xf numFmtId="1" fontId="4" fillId="18" borderId="7" xfId="0" applyNumberFormat="1" applyFont="1" applyFill="1" applyBorder="1" applyAlignment="1">
      <alignment horizontal="center"/>
    </xf>
    <xf numFmtId="1" fontId="4" fillId="18" borderId="1" xfId="0" applyNumberFormat="1" applyFont="1" applyFill="1" applyBorder="1" applyAlignment="1">
      <alignment horizontal="center"/>
    </xf>
    <xf numFmtId="1" fontId="4" fillId="18" borderId="8" xfId="0" applyNumberFormat="1" applyFont="1" applyFill="1" applyBorder="1" applyAlignment="1">
      <alignment horizontal="center"/>
    </xf>
    <xf numFmtId="1" fontId="20" fillId="18" borderId="8" xfId="0" applyNumberFormat="1" applyFont="1" applyFill="1" applyBorder="1" applyAlignment="1">
      <alignment horizontal="center"/>
    </xf>
    <xf numFmtId="0" fontId="2" fillId="14" borderId="7" xfId="0" quotePrefix="1" applyFont="1" applyFill="1" applyBorder="1" applyAlignment="1">
      <alignment horizontal="center"/>
    </xf>
    <xf numFmtId="0" fontId="2" fillId="14" borderId="1" xfId="0" quotePrefix="1" applyFont="1" applyFill="1" applyBorder="1" applyAlignment="1">
      <alignment horizontal="center"/>
    </xf>
    <xf numFmtId="0" fontId="2" fillId="14" borderId="8" xfId="0" quotePrefix="1" applyFont="1" applyFill="1" applyBorder="1" applyAlignment="1">
      <alignment horizontal="center"/>
    </xf>
    <xf numFmtId="1" fontId="4" fillId="14" borderId="7" xfId="0" applyNumberFormat="1" applyFont="1" applyFill="1" applyBorder="1" applyAlignment="1">
      <alignment horizontal="center"/>
    </xf>
    <xf numFmtId="1" fontId="4" fillId="14" borderId="1" xfId="0" applyNumberFormat="1" applyFont="1" applyFill="1" applyBorder="1" applyAlignment="1">
      <alignment horizontal="center"/>
    </xf>
    <xf numFmtId="1" fontId="4" fillId="14" borderId="8" xfId="0" applyNumberFormat="1" applyFont="1" applyFill="1" applyBorder="1" applyAlignment="1">
      <alignment horizontal="center"/>
    </xf>
    <xf numFmtId="1" fontId="4" fillId="14" borderId="8" xfId="0" applyNumberFormat="1" applyFont="1" applyFill="1" applyBorder="1" applyAlignment="1">
      <alignment horizontal="left"/>
    </xf>
    <xf numFmtId="0" fontId="4" fillId="14" borderId="7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left"/>
    </xf>
    <xf numFmtId="1" fontId="4" fillId="14" borderId="1" xfId="0" applyNumberFormat="1" applyFont="1" applyFill="1" applyBorder="1" applyAlignment="1">
      <alignment horizontal="left"/>
    </xf>
    <xf numFmtId="1" fontId="11" fillId="14" borderId="1" xfId="0" applyNumberFormat="1" applyFont="1" applyFill="1" applyBorder="1" applyAlignment="1">
      <alignment horizontal="center"/>
    </xf>
    <xf numFmtId="0" fontId="4" fillId="19" borderId="22" xfId="0" applyFont="1" applyFill="1" applyBorder="1" applyAlignment="1">
      <alignment horizontal="center"/>
    </xf>
    <xf numFmtId="6" fontId="2" fillId="12" borderId="38" xfId="0" applyNumberFormat="1" applyFont="1" applyFill="1" applyBorder="1"/>
    <xf numFmtId="6" fontId="2" fillId="12" borderId="39" xfId="0" applyNumberFormat="1" applyFont="1" applyFill="1" applyBorder="1"/>
    <xf numFmtId="38" fontId="2" fillId="18" borderId="38" xfId="0" applyNumberFormat="1" applyFont="1" applyFill="1" applyBorder="1"/>
    <xf numFmtId="38" fontId="2" fillId="18" borderId="39" xfId="0" applyNumberFormat="1" applyFont="1" applyFill="1" applyBorder="1"/>
    <xf numFmtId="1" fontId="4" fillId="14" borderId="38" xfId="0" applyNumberFormat="1" applyFont="1" applyFill="1" applyBorder="1" applyAlignment="1">
      <alignment horizontal="center"/>
    </xf>
    <xf numFmtId="1" fontId="4" fillId="14" borderId="39" xfId="0" applyNumberFormat="1" applyFont="1" applyFill="1" applyBorder="1" applyAlignment="1">
      <alignment horizontal="center"/>
    </xf>
    <xf numFmtId="0" fontId="18" fillId="17" borderId="48" xfId="0" applyFont="1" applyFill="1" applyBorder="1" applyAlignment="1">
      <alignment horizontal="center"/>
    </xf>
    <xf numFmtId="0" fontId="4" fillId="17" borderId="48" xfId="0" applyFont="1" applyFill="1" applyBorder="1" applyAlignment="1">
      <alignment horizontal="center"/>
    </xf>
    <xf numFmtId="0" fontId="4" fillId="17" borderId="49" xfId="0" applyFont="1" applyFill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18" fillId="18" borderId="7" xfId="0" applyNumberFormat="1" applyFont="1" applyFill="1" applyBorder="1" applyAlignment="1">
      <alignment horizontal="center"/>
    </xf>
    <xf numFmtId="1" fontId="18" fillId="18" borderId="1" xfId="0" applyNumberFormat="1" applyFont="1" applyFill="1" applyBorder="1" applyAlignment="1">
      <alignment horizontal="center"/>
    </xf>
    <xf numFmtId="1" fontId="18" fillId="14" borderId="7" xfId="0" applyNumberFormat="1" applyFont="1" applyFill="1" applyBorder="1" applyAlignment="1">
      <alignment horizontal="center"/>
    </xf>
    <xf numFmtId="1" fontId="18" fillId="14" borderId="1" xfId="0" applyNumberFormat="1" applyFont="1" applyFill="1" applyBorder="1" applyAlignment="1">
      <alignment horizontal="center"/>
    </xf>
    <xf numFmtId="6" fontId="2" fillId="0" borderId="40" xfId="0" applyNumberFormat="1" applyFont="1" applyBorder="1"/>
    <xf numFmtId="6" fontId="0" fillId="0" borderId="0" xfId="0" applyNumberFormat="1" applyFont="1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5" fillId="14" borderId="1" xfId="0" applyNumberFormat="1" applyFont="1" applyFill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1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7" fillId="0" borderId="0" xfId="0" applyFont="1" applyAlignment="1"/>
    <xf numFmtId="164" fontId="17" fillId="0" borderId="0" xfId="0" applyNumberFormat="1" applyFont="1" applyAlignment="1">
      <alignment horizontal="center" vertical="center" wrapText="1"/>
    </xf>
    <xf numFmtId="0" fontId="4" fillId="9" borderId="1" xfId="0" applyFont="1" applyFill="1" applyBorder="1"/>
    <xf numFmtId="0" fontId="28" fillId="0" borderId="0" xfId="1"/>
    <xf numFmtId="0" fontId="10" fillId="15" borderId="1" xfId="0" applyFont="1" applyFill="1" applyBorder="1"/>
    <xf numFmtId="0" fontId="0" fillId="15" borderId="1" xfId="0" applyFill="1" applyBorder="1" applyAlignment="1">
      <alignment horizontal="center"/>
    </xf>
    <xf numFmtId="6" fontId="4" fillId="15" borderId="7" xfId="0" applyNumberFormat="1" applyFont="1" applyFill="1" applyBorder="1"/>
    <xf numFmtId="1" fontId="4" fillId="15" borderId="7" xfId="0" applyNumberFormat="1" applyFont="1" applyFill="1" applyBorder="1" applyAlignment="1">
      <alignment horizontal="center"/>
    </xf>
    <xf numFmtId="0" fontId="18" fillId="15" borderId="48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8" xfId="0" applyFont="1" applyFill="1" applyBorder="1" applyAlignment="1">
      <alignment horizontal="center"/>
    </xf>
    <xf numFmtId="0" fontId="23" fillId="17" borderId="46" xfId="0" applyFont="1" applyFill="1" applyBorder="1" applyAlignment="1">
      <alignment horizontal="center" vertical="center" wrapText="1"/>
    </xf>
    <xf numFmtId="0" fontId="23" fillId="17" borderId="4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wrapText="1"/>
    </xf>
    <xf numFmtId="0" fontId="1" fillId="12" borderId="6" xfId="0" applyFont="1" applyFill="1" applyBorder="1" applyAlignment="1">
      <alignment horizontal="center" wrapText="1"/>
    </xf>
    <xf numFmtId="0" fontId="1" fillId="12" borderId="43" xfId="0" applyFont="1" applyFill="1" applyBorder="1" applyAlignment="1">
      <alignment horizontal="center" wrapText="1"/>
    </xf>
    <xf numFmtId="0" fontId="1" fillId="18" borderId="5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18" borderId="43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4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43" xfId="0" applyFont="1" applyFill="1" applyBorder="1" applyAlignment="1">
      <alignment horizontal="center"/>
    </xf>
    <xf numFmtId="0" fontId="1" fillId="18" borderId="5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8" borderId="43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43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2" fillId="19" borderId="30" xfId="0" applyFont="1" applyFill="1" applyBorder="1" applyAlignment="1">
      <alignment horizontal="center" vertical="center" wrapText="1"/>
    </xf>
    <xf numFmtId="0" fontId="22" fillId="19" borderId="44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9878</xdr:colOff>
      <xdr:row>10</xdr:row>
      <xdr:rowOff>17064</xdr:rowOff>
    </xdr:from>
    <xdr:to>
      <xdr:col>13</xdr:col>
      <xdr:colOff>14112</xdr:colOff>
      <xdr:row>25</xdr:row>
      <xdr:rowOff>46566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150FBE-9A73-4897-B5BD-FE33C8B4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100" y="2500620"/>
          <a:ext cx="5592234" cy="2781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urveymonkey.com/mp/net-promoter-score-calculatio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B142-FB75-4C7B-838D-6D25871B7E76}">
  <sheetPr>
    <pageSetUpPr fitToPage="1"/>
  </sheetPr>
  <dimension ref="A1:AC32"/>
  <sheetViews>
    <sheetView tabSelected="1" zoomScale="90" zoomScaleNormal="90" workbookViewId="0">
      <pane xSplit="3" topLeftCell="D1" activePane="topRight" state="frozen"/>
      <selection activeCell="A5" sqref="A5"/>
      <selection pane="topRight" activeCell="K4" sqref="K4"/>
    </sheetView>
  </sheetViews>
  <sheetFormatPr baseColWidth="10" defaultColWidth="8.6640625" defaultRowHeight="16" x14ac:dyDescent="0.2"/>
  <cols>
    <col min="1" max="1" width="3.83203125" style="173" customWidth="1"/>
    <col min="2" max="2" width="9.5" style="172" customWidth="1"/>
    <col min="3" max="3" width="43.83203125" style="91" customWidth="1"/>
    <col min="4" max="5" width="9.1640625" style="173" customWidth="1"/>
    <col min="6" max="6" width="10.83203125" style="173" customWidth="1"/>
    <col min="7" max="7" width="7.83203125" style="174" customWidth="1"/>
    <col min="8" max="8" width="7.5" style="173" customWidth="1"/>
    <col min="9" max="9" width="8.33203125" style="173" customWidth="1"/>
    <col min="10" max="10" width="7.1640625" style="172" customWidth="1"/>
    <col min="11" max="11" width="7" style="172" customWidth="1"/>
    <col min="12" max="12" width="7.83203125" style="172" customWidth="1"/>
    <col min="13" max="13" width="7.1640625" customWidth="1"/>
    <col min="14" max="14" width="8.6640625" style="173" customWidth="1"/>
    <col min="15" max="16" width="8.6640625" style="173"/>
    <col min="17" max="17" width="42.33203125" style="173" customWidth="1"/>
    <col min="18" max="19" width="8.6640625" style="172"/>
    <col min="20" max="20" width="5.6640625" style="172" customWidth="1"/>
    <col min="21" max="21" width="5.33203125" style="172" customWidth="1"/>
    <col min="22" max="24" width="8.6640625" style="173"/>
    <col min="25" max="25" width="4.1640625" style="170" customWidth="1"/>
    <col min="26" max="16384" width="8.6640625" style="173"/>
  </cols>
  <sheetData>
    <row r="1" spans="1:29" s="4" customFormat="1" ht="32" customHeight="1" x14ac:dyDescent="0.2">
      <c r="B1" s="9"/>
      <c r="C1" s="91" t="s">
        <v>212</v>
      </c>
      <c r="D1" s="319" t="s">
        <v>191</v>
      </c>
      <c r="E1" s="320"/>
      <c r="F1" s="321"/>
      <c r="G1" s="322" t="s">
        <v>173</v>
      </c>
      <c r="H1" s="323"/>
      <c r="I1" s="324"/>
      <c r="J1" s="325" t="s">
        <v>209</v>
      </c>
      <c r="K1" s="326"/>
      <c r="L1" s="326"/>
      <c r="M1" s="314" t="s">
        <v>175</v>
      </c>
      <c r="N1" s="316" t="s">
        <v>190</v>
      </c>
      <c r="O1" s="317"/>
      <c r="P1" s="318"/>
      <c r="R1" s="9"/>
      <c r="S1" s="9"/>
      <c r="T1" s="9"/>
      <c r="U1" s="9"/>
      <c r="Y1" s="15"/>
    </row>
    <row r="2" spans="1:29" s="1" customFormat="1" ht="30" x14ac:dyDescent="0.2">
      <c r="A2" s="2"/>
      <c r="B2" s="2" t="s">
        <v>184</v>
      </c>
      <c r="C2" s="21" t="s">
        <v>185</v>
      </c>
      <c r="D2" s="239">
        <v>2018</v>
      </c>
      <c r="E2" s="240">
        <v>2019</v>
      </c>
      <c r="F2" s="240">
        <v>2020</v>
      </c>
      <c r="G2" s="246">
        <v>2018</v>
      </c>
      <c r="H2" s="247">
        <v>2019</v>
      </c>
      <c r="I2" s="247">
        <v>2020</v>
      </c>
      <c r="J2" s="253">
        <v>2018</v>
      </c>
      <c r="K2" s="254">
        <v>2019</v>
      </c>
      <c r="L2" s="254">
        <v>2020</v>
      </c>
      <c r="M2" s="315"/>
      <c r="N2" s="275" t="s">
        <v>188</v>
      </c>
      <c r="O2" s="237" t="s">
        <v>189</v>
      </c>
      <c r="P2" s="276" t="s">
        <v>178</v>
      </c>
    </row>
    <row r="3" spans="1:29" ht="20" x14ac:dyDescent="0.2">
      <c r="A3" s="169">
        <v>1</v>
      </c>
      <c r="B3" s="16" t="s">
        <v>213</v>
      </c>
      <c r="C3" s="92" t="s">
        <v>9</v>
      </c>
      <c r="D3" s="243">
        <v>10000</v>
      </c>
      <c r="E3" s="244">
        <v>8500</v>
      </c>
      <c r="F3" s="233">
        <v>9000</v>
      </c>
      <c r="G3" s="282">
        <v>360</v>
      </c>
      <c r="H3" s="283">
        <v>380</v>
      </c>
      <c r="I3" s="283">
        <v>280</v>
      </c>
      <c r="J3" s="284">
        <v>59</v>
      </c>
      <c r="K3" s="285">
        <v>63</v>
      </c>
      <c r="L3" s="285">
        <v>59</v>
      </c>
      <c r="M3" s="272">
        <v>400</v>
      </c>
      <c r="N3" s="277"/>
      <c r="O3" s="46"/>
      <c r="P3" s="51"/>
    </row>
    <row r="4" spans="1:29" ht="20" x14ac:dyDescent="0.2">
      <c r="A4" s="169">
        <v>2</v>
      </c>
      <c r="B4" s="16" t="s">
        <v>214</v>
      </c>
      <c r="C4" s="92" t="s">
        <v>187</v>
      </c>
      <c r="D4" s="243">
        <v>-1000</v>
      </c>
      <c r="E4" s="244">
        <v>4000</v>
      </c>
      <c r="F4" s="233">
        <v>7000</v>
      </c>
      <c r="G4" s="282">
        <v>120</v>
      </c>
      <c r="H4" s="283">
        <v>130</v>
      </c>
      <c r="I4" s="283">
        <v>140</v>
      </c>
      <c r="J4" s="284">
        <v>76</v>
      </c>
      <c r="K4" s="285">
        <v>72</v>
      </c>
      <c r="L4" s="285">
        <v>72</v>
      </c>
      <c r="M4" s="272">
        <v>269</v>
      </c>
      <c r="N4" s="278"/>
      <c r="O4" s="47"/>
      <c r="P4" s="48"/>
    </row>
    <row r="5" spans="1:29" ht="20" x14ac:dyDescent="0.2">
      <c r="A5" s="169">
        <v>3</v>
      </c>
      <c r="B5" s="16" t="s">
        <v>16</v>
      </c>
      <c r="C5" s="92" t="s">
        <v>192</v>
      </c>
      <c r="D5" s="241">
        <v>3000</v>
      </c>
      <c r="E5" s="242">
        <v>5000</v>
      </c>
      <c r="F5" s="232">
        <v>4000</v>
      </c>
      <c r="G5" s="249">
        <v>200</v>
      </c>
      <c r="H5" s="250">
        <v>200</v>
      </c>
      <c r="I5" s="250">
        <v>120</v>
      </c>
      <c r="J5" s="260">
        <v>60</v>
      </c>
      <c r="K5" s="261">
        <v>55</v>
      </c>
      <c r="L5" s="261">
        <v>50</v>
      </c>
      <c r="M5" s="272">
        <v>225</v>
      </c>
      <c r="N5" s="278"/>
      <c r="O5" s="47"/>
      <c r="P5" s="51"/>
    </row>
    <row r="6" spans="1:29" ht="20" x14ac:dyDescent="0.2">
      <c r="A6" s="169">
        <v>4</v>
      </c>
      <c r="B6" s="16" t="s">
        <v>215</v>
      </c>
      <c r="C6" s="92" t="s">
        <v>210</v>
      </c>
      <c r="D6" s="245">
        <v>10000</v>
      </c>
      <c r="E6" s="242">
        <v>11000</v>
      </c>
      <c r="F6" s="232" t="s">
        <v>218</v>
      </c>
      <c r="G6" s="249">
        <v>30</v>
      </c>
      <c r="H6" s="250">
        <v>33</v>
      </c>
      <c r="I6" s="250" t="s">
        <v>13</v>
      </c>
      <c r="J6" s="256">
        <v>80</v>
      </c>
      <c r="K6" s="257">
        <v>85</v>
      </c>
      <c r="L6" s="257" t="s">
        <v>13</v>
      </c>
      <c r="M6" s="272">
        <v>300</v>
      </c>
      <c r="N6" s="278"/>
      <c r="O6" s="46"/>
      <c r="P6" s="51"/>
    </row>
    <row r="7" spans="1:29" ht="20" x14ac:dyDescent="0.2">
      <c r="A7" s="169">
        <v>5</v>
      </c>
      <c r="B7" s="16" t="s">
        <v>22</v>
      </c>
      <c r="C7" s="92" t="s">
        <v>186</v>
      </c>
      <c r="D7" s="245">
        <v>4500</v>
      </c>
      <c r="E7" s="232">
        <v>3500</v>
      </c>
      <c r="F7" s="232">
        <v>1000</v>
      </c>
      <c r="G7" s="249">
        <v>80</v>
      </c>
      <c r="H7" s="250">
        <v>100</v>
      </c>
      <c r="I7" s="250">
        <v>70</v>
      </c>
      <c r="J7" s="256">
        <v>58</v>
      </c>
      <c r="K7" s="257">
        <v>65</v>
      </c>
      <c r="L7" s="257">
        <v>70</v>
      </c>
      <c r="M7" s="273">
        <v>180</v>
      </c>
      <c r="N7" s="277"/>
      <c r="O7" s="46"/>
      <c r="P7" s="50"/>
    </row>
    <row r="8" spans="1:29" ht="20" x14ac:dyDescent="0.2">
      <c r="A8" s="306">
        <v>6</v>
      </c>
      <c r="B8" s="307" t="s">
        <v>216</v>
      </c>
      <c r="C8" s="206" t="s">
        <v>217</v>
      </c>
      <c r="D8" s="308">
        <v>-5000</v>
      </c>
      <c r="E8" s="230">
        <v>-7000</v>
      </c>
      <c r="F8" s="231" t="s">
        <v>165</v>
      </c>
      <c r="G8" s="309">
        <v>200</v>
      </c>
      <c r="H8" s="209">
        <v>125</v>
      </c>
      <c r="I8" s="209" t="s">
        <v>211</v>
      </c>
      <c r="J8" s="309">
        <v>70</v>
      </c>
      <c r="K8" s="209">
        <v>72</v>
      </c>
      <c r="L8" s="209" t="s">
        <v>211</v>
      </c>
      <c r="M8" s="310">
        <v>350</v>
      </c>
      <c r="N8" s="311"/>
      <c r="O8" s="312"/>
      <c r="P8" s="313"/>
    </row>
    <row r="9" spans="1:29" ht="21" thickBot="1" x14ac:dyDescent="0.25">
      <c r="A9" s="169"/>
      <c r="B9" s="215"/>
      <c r="C9" s="92"/>
      <c r="D9" s="266"/>
      <c r="E9" s="267"/>
      <c r="F9" s="267"/>
      <c r="G9" s="268"/>
      <c r="H9" s="269"/>
      <c r="I9" s="269"/>
      <c r="J9" s="270"/>
      <c r="K9" s="271"/>
      <c r="L9" s="271"/>
      <c r="M9" s="274"/>
      <c r="N9" s="279"/>
      <c r="O9" s="280"/>
      <c r="P9" s="281"/>
    </row>
    <row r="10" spans="1:29" x14ac:dyDescent="0.2">
      <c r="AA10" s="9"/>
      <c r="AB10" s="9"/>
      <c r="AC10" s="9"/>
    </row>
    <row r="11" spans="1:29" x14ac:dyDescent="0.2">
      <c r="AA11" s="9"/>
      <c r="AB11" s="9"/>
      <c r="AC11" s="9"/>
    </row>
    <row r="12" spans="1:29" x14ac:dyDescent="0.2">
      <c r="Y12" s="14"/>
      <c r="Z12" s="9"/>
      <c r="AA12" s="9"/>
      <c r="AB12" s="9"/>
      <c r="AC12" s="9"/>
    </row>
    <row r="13" spans="1:29" x14ac:dyDescent="0.2">
      <c r="Y13" s="14"/>
      <c r="Z13" s="9"/>
      <c r="AA13" s="9"/>
      <c r="AB13" s="9"/>
      <c r="AC13" s="9"/>
    </row>
    <row r="14" spans="1:29" x14ac:dyDescent="0.2">
      <c r="Y14" s="14"/>
      <c r="Z14" s="9"/>
      <c r="AA14" s="9"/>
      <c r="AB14" s="9"/>
      <c r="AC14" s="9"/>
    </row>
    <row r="15" spans="1:29" x14ac:dyDescent="0.2">
      <c r="Y15" s="14"/>
      <c r="Z15" s="9"/>
      <c r="AA15" s="9"/>
      <c r="AB15" s="9"/>
      <c r="AC15" s="9"/>
    </row>
    <row r="16" spans="1:29" x14ac:dyDescent="0.2">
      <c r="Y16" s="14"/>
      <c r="Z16" s="9"/>
      <c r="AA16" s="9"/>
      <c r="AB16" s="9"/>
      <c r="AC16" s="9"/>
    </row>
    <row r="17" spans="25:29" x14ac:dyDescent="0.2">
      <c r="Y17" s="14"/>
      <c r="Z17" s="9"/>
      <c r="AA17" s="9"/>
      <c r="AB17" s="9"/>
      <c r="AC17" s="9"/>
    </row>
    <row r="18" spans="25:29" x14ac:dyDescent="0.2">
      <c r="Y18" s="14"/>
      <c r="Z18" s="9"/>
      <c r="AA18" s="9"/>
      <c r="AB18" s="9"/>
      <c r="AC18" s="9"/>
    </row>
    <row r="19" spans="25:29" x14ac:dyDescent="0.2">
      <c r="Y19" s="14"/>
      <c r="Z19" s="9"/>
      <c r="AA19" s="9"/>
      <c r="AB19" s="9"/>
      <c r="AC19" s="9"/>
    </row>
    <row r="20" spans="25:29" x14ac:dyDescent="0.2">
      <c r="Y20" s="14"/>
      <c r="Z20" s="9"/>
      <c r="AA20" s="9"/>
      <c r="AB20" s="9"/>
      <c r="AC20" s="9"/>
    </row>
    <row r="21" spans="25:29" x14ac:dyDescent="0.2">
      <c r="Y21" s="14"/>
      <c r="Z21" s="9"/>
      <c r="AA21" s="9"/>
      <c r="AB21" s="9"/>
      <c r="AC21" s="9"/>
    </row>
    <row r="22" spans="25:29" x14ac:dyDescent="0.2">
      <c r="Y22" s="14"/>
      <c r="Z22" s="9"/>
      <c r="AA22" s="9"/>
      <c r="AB22" s="9"/>
      <c r="AC22" s="9"/>
    </row>
    <row r="23" spans="25:29" x14ac:dyDescent="0.2">
      <c r="Y23" s="14"/>
      <c r="Z23" s="9"/>
      <c r="AA23" s="9"/>
      <c r="AB23" s="9"/>
      <c r="AC23" s="9"/>
    </row>
    <row r="24" spans="25:29" x14ac:dyDescent="0.2">
      <c r="Y24" s="14"/>
      <c r="Z24" s="9"/>
      <c r="AA24" s="9"/>
      <c r="AB24" s="9"/>
      <c r="AC24" s="9"/>
    </row>
    <row r="25" spans="25:29" x14ac:dyDescent="0.2">
      <c r="Y25" s="14"/>
      <c r="Z25" s="9"/>
      <c r="AA25" s="9"/>
      <c r="AB25" s="9"/>
      <c r="AC25" s="9"/>
    </row>
    <row r="26" spans="25:29" x14ac:dyDescent="0.2">
      <c r="Y26" s="14"/>
      <c r="Z26" s="9"/>
      <c r="AA26" s="9"/>
      <c r="AB26" s="9"/>
      <c r="AC26" s="9"/>
    </row>
    <row r="27" spans="25:29" x14ac:dyDescent="0.2">
      <c r="Y27" s="14"/>
      <c r="Z27" s="9"/>
      <c r="AA27" s="9"/>
      <c r="AB27" s="9"/>
      <c r="AC27" s="9"/>
    </row>
    <row r="28" spans="25:29" x14ac:dyDescent="0.2">
      <c r="Y28" s="14"/>
      <c r="Z28" s="9"/>
      <c r="AA28" s="4"/>
      <c r="AB28" s="4"/>
      <c r="AC28" s="4"/>
    </row>
    <row r="29" spans="25:29" x14ac:dyDescent="0.2">
      <c r="Y29" s="14"/>
      <c r="Z29" s="9"/>
    </row>
    <row r="30" spans="25:29" x14ac:dyDescent="0.2">
      <c r="Y30" s="15"/>
      <c r="Z30" s="9"/>
    </row>
    <row r="31" spans="25:29" x14ac:dyDescent="0.2">
      <c r="Z31" s="9"/>
    </row>
    <row r="32" spans="25:29" x14ac:dyDescent="0.2">
      <c r="Z32" s="4"/>
    </row>
  </sheetData>
  <mergeCells count="5">
    <mergeCell ref="M1:M2"/>
    <mergeCell ref="N1:P1"/>
    <mergeCell ref="D1:F1"/>
    <mergeCell ref="G1:I1"/>
    <mergeCell ref="J1:L1"/>
  </mergeCells>
  <pageMargins left="0.7" right="0.7" top="0.75" bottom="0.75" header="0.3" footer="0.3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4FEB-00B9-45D6-BB87-D9FC90C7EAAA}">
  <sheetPr>
    <pageSetUpPr fitToPage="1"/>
  </sheetPr>
  <dimension ref="A1:T44"/>
  <sheetViews>
    <sheetView workbookViewId="0">
      <pane xSplit="1" ySplit="2" topLeftCell="B3" activePane="bottomRight" state="frozen"/>
      <selection pane="topRight" activeCell="R3" sqref="R3"/>
      <selection pane="bottomLeft" activeCell="R3" sqref="R3"/>
      <selection pane="bottomRight" activeCell="R3" sqref="R3"/>
    </sheetView>
  </sheetViews>
  <sheetFormatPr baseColWidth="10" defaultColWidth="8.83203125" defaultRowHeight="15" x14ac:dyDescent="0.2"/>
  <cols>
    <col min="1" max="1" width="45.6640625" customWidth="1"/>
    <col min="2" max="2" width="6.83203125" style="178" customWidth="1"/>
    <col min="3" max="5" width="6.83203125" style="178" hidden="1" customWidth="1"/>
    <col min="6" max="6" width="8.83203125" style="178" hidden="1" customWidth="1"/>
    <col min="7" max="9" width="6.83203125" style="178" hidden="1" customWidth="1"/>
    <col min="10" max="10" width="3.5" customWidth="1"/>
    <col min="11" max="13" width="7.5" customWidth="1"/>
    <col min="14" max="14" width="7.83203125" customWidth="1"/>
    <col min="15" max="15" width="7.6640625" customWidth="1"/>
    <col min="16" max="16" width="6.83203125" customWidth="1"/>
    <col min="17" max="17" width="7.1640625" customWidth="1"/>
    <col min="18" max="18" width="4.83203125" customWidth="1"/>
    <col min="19" max="19" width="4.5" customWidth="1"/>
    <col min="20" max="20" width="6.83203125" style="178" customWidth="1"/>
  </cols>
  <sheetData>
    <row r="1" spans="1:20" x14ac:dyDescent="0.2">
      <c r="K1" s="347"/>
      <c r="L1" s="347"/>
      <c r="M1" s="347"/>
      <c r="N1" s="347"/>
      <c r="O1" s="347"/>
      <c r="P1" s="347"/>
      <c r="Q1" s="347"/>
      <c r="R1" s="347"/>
      <c r="S1" s="347"/>
    </row>
    <row r="2" spans="1:20" s="176" customFormat="1" ht="29.5" customHeight="1" x14ac:dyDescent="0.15">
      <c r="A2" s="179" t="s">
        <v>95</v>
      </c>
      <c r="B2" s="184" t="s">
        <v>161</v>
      </c>
      <c r="C2" s="180"/>
      <c r="D2" s="180"/>
      <c r="E2" s="180"/>
      <c r="F2" s="180"/>
      <c r="G2" s="180"/>
      <c r="H2" s="180"/>
      <c r="I2" s="180"/>
      <c r="K2" s="184" t="s">
        <v>133</v>
      </c>
      <c r="L2" s="184" t="s">
        <v>134</v>
      </c>
      <c r="M2" s="184" t="s">
        <v>100</v>
      </c>
      <c r="N2" s="184" t="s">
        <v>135</v>
      </c>
      <c r="O2" s="184" t="s">
        <v>102</v>
      </c>
      <c r="P2" s="184" t="s">
        <v>136</v>
      </c>
      <c r="Q2" s="184" t="s">
        <v>137</v>
      </c>
      <c r="R2" s="184" t="s">
        <v>105</v>
      </c>
      <c r="S2" s="184" t="s">
        <v>106</v>
      </c>
      <c r="T2" s="177" t="s">
        <v>107</v>
      </c>
    </row>
    <row r="3" spans="1:20" ht="16" x14ac:dyDescent="0.2">
      <c r="A3" s="181" t="s">
        <v>138</v>
      </c>
      <c r="B3" s="36">
        <f t="shared" ref="B3:B23" si="0">(K3+L3+N3+O3+P3+Q3+M3)*T3</f>
        <v>84</v>
      </c>
      <c r="C3" s="36"/>
      <c r="D3" s="36"/>
      <c r="E3" s="36"/>
      <c r="F3" s="36"/>
      <c r="G3" s="36"/>
      <c r="H3" s="36">
        <f>(T3+V3+W3+X3+Y3+U3)*Z3</f>
        <v>0</v>
      </c>
      <c r="I3" s="36"/>
      <c r="K3" s="3">
        <v>0.5</v>
      </c>
      <c r="L3" s="3">
        <v>0</v>
      </c>
      <c r="M3" s="3">
        <v>0</v>
      </c>
      <c r="N3" s="3">
        <v>0</v>
      </c>
      <c r="O3" s="3">
        <v>0</v>
      </c>
      <c r="P3" s="3">
        <v>1.25</v>
      </c>
      <c r="Q3" s="3">
        <v>0</v>
      </c>
      <c r="R3" s="3">
        <v>4</v>
      </c>
      <c r="S3" s="3">
        <v>3</v>
      </c>
      <c r="T3" s="178">
        <v>48</v>
      </c>
    </row>
    <row r="4" spans="1:20" ht="16" x14ac:dyDescent="0.2">
      <c r="A4" s="181" t="s">
        <v>17</v>
      </c>
      <c r="B4" s="36">
        <f t="shared" si="0"/>
        <v>20</v>
      </c>
      <c r="C4" s="36">
        <f t="shared" ref="C4:C23" si="1">(M4+O4+P4+Q4+T4+N4)*U4</f>
        <v>0</v>
      </c>
      <c r="D4" s="36">
        <f t="shared" ref="D4:D23" si="2">(N4+P4+Q4+T4+U4+O4)*V4</f>
        <v>0</v>
      </c>
      <c r="E4" s="36">
        <f t="shared" ref="E4:E23" si="3">(O4+Q4+T4+U4+V4+P4)*W4</f>
        <v>0</v>
      </c>
      <c r="F4" s="36">
        <f t="shared" ref="F4:F23" si="4">(P4+T4+U4+V4+W4+Q4)*X4</f>
        <v>0</v>
      </c>
      <c r="G4" s="36">
        <f t="shared" ref="G4:G23" si="5">(Q4+U4+V4+W4+X4+T4)*Y4</f>
        <v>0</v>
      </c>
      <c r="H4" s="36">
        <f>(T4+V4+W4+X4+Y4+U4)*Z4</f>
        <v>0</v>
      </c>
      <c r="I4" s="36">
        <f>(U4+W4+X4+Y4+Z4+V4)*AA4</f>
        <v>0</v>
      </c>
      <c r="K4" s="3">
        <v>8</v>
      </c>
      <c r="L4" s="3">
        <v>2</v>
      </c>
      <c r="M4" s="3">
        <v>0</v>
      </c>
      <c r="N4" s="3">
        <v>0</v>
      </c>
      <c r="O4" s="3">
        <v>1</v>
      </c>
      <c r="P4" s="3">
        <v>9</v>
      </c>
      <c r="Q4" s="3">
        <v>0</v>
      </c>
      <c r="R4" s="3">
        <v>4</v>
      </c>
      <c r="S4" s="3">
        <v>5</v>
      </c>
      <c r="T4" s="151">
        <v>1</v>
      </c>
    </row>
    <row r="5" spans="1:20" ht="16" x14ac:dyDescent="0.2">
      <c r="A5" s="181" t="s">
        <v>9</v>
      </c>
      <c r="B5" s="36">
        <f t="shared" si="0"/>
        <v>20</v>
      </c>
      <c r="C5" s="36">
        <f t="shared" si="1"/>
        <v>0</v>
      </c>
      <c r="D5" s="36">
        <f t="shared" si="2"/>
        <v>0</v>
      </c>
      <c r="E5" s="36">
        <f t="shared" si="3"/>
        <v>0</v>
      </c>
      <c r="F5" s="36">
        <f t="shared" si="4"/>
        <v>0</v>
      </c>
      <c r="G5" s="36">
        <f t="shared" si="5"/>
        <v>0</v>
      </c>
      <c r="H5" s="36">
        <f>(T5+V5+W5+X5+Y5+U5)*Z5</f>
        <v>0</v>
      </c>
      <c r="I5" s="36">
        <f>(U5+W5+X5+Y5+Z5+V5)*AA5</f>
        <v>0</v>
      </c>
      <c r="K5" s="3">
        <v>10</v>
      </c>
      <c r="L5" s="3">
        <v>3</v>
      </c>
      <c r="M5" s="3">
        <v>0</v>
      </c>
      <c r="N5" s="3">
        <v>0</v>
      </c>
      <c r="O5" s="3">
        <v>1</v>
      </c>
      <c r="P5" s="3">
        <v>5</v>
      </c>
      <c r="Q5" s="3">
        <v>1</v>
      </c>
      <c r="R5" s="3">
        <v>4</v>
      </c>
      <c r="S5" s="3">
        <v>5</v>
      </c>
      <c r="T5" s="151">
        <v>1</v>
      </c>
    </row>
    <row r="6" spans="1:20" ht="16" x14ac:dyDescent="0.2">
      <c r="A6" s="181" t="s">
        <v>20</v>
      </c>
      <c r="B6" s="36">
        <f t="shared" si="0"/>
        <v>16.5</v>
      </c>
      <c r="C6" s="36">
        <f t="shared" si="1"/>
        <v>0</v>
      </c>
      <c r="D6" s="36">
        <f t="shared" si="2"/>
        <v>0</v>
      </c>
      <c r="E6" s="36">
        <f t="shared" si="3"/>
        <v>0</v>
      </c>
      <c r="F6" s="36">
        <f t="shared" si="4"/>
        <v>0</v>
      </c>
      <c r="G6" s="36">
        <f t="shared" si="5"/>
        <v>0</v>
      </c>
      <c r="H6" s="36">
        <f>(T6+V6+W6+X6+Y6+U6)*Z6</f>
        <v>0</v>
      </c>
      <c r="I6" s="36">
        <f>(U6+W6+X6+Y6+Z6+V6)*AA6</f>
        <v>0</v>
      </c>
      <c r="K6" s="3">
        <v>2</v>
      </c>
      <c r="L6" s="3">
        <v>3</v>
      </c>
      <c r="M6" s="3">
        <v>0</v>
      </c>
      <c r="N6" s="3">
        <v>0</v>
      </c>
      <c r="O6" s="3">
        <v>0.5</v>
      </c>
      <c r="P6" s="3">
        <v>9</v>
      </c>
      <c r="Q6" s="3">
        <v>2</v>
      </c>
      <c r="R6" s="3">
        <v>5</v>
      </c>
      <c r="S6" s="3">
        <v>5</v>
      </c>
      <c r="T6" s="151">
        <v>1</v>
      </c>
    </row>
    <row r="7" spans="1:20" ht="16" x14ac:dyDescent="0.2">
      <c r="A7" s="181" t="s">
        <v>109</v>
      </c>
      <c r="B7" s="36">
        <f t="shared" si="0"/>
        <v>1.5</v>
      </c>
      <c r="C7" s="36">
        <f t="shared" si="1"/>
        <v>0</v>
      </c>
      <c r="D7" s="36">
        <f t="shared" si="2"/>
        <v>0</v>
      </c>
      <c r="E7" s="36">
        <f t="shared" si="3"/>
        <v>0</v>
      </c>
      <c r="F7" s="36">
        <f t="shared" si="4"/>
        <v>0</v>
      </c>
      <c r="G7" s="36">
        <f t="shared" si="5"/>
        <v>0</v>
      </c>
      <c r="H7" s="36">
        <f>(T7+V7+W7+X7+Y7+U7)*Z7</f>
        <v>0</v>
      </c>
      <c r="I7" s="36">
        <f>(U7+W7+X7+Y7+Z7+V7)*AA7</f>
        <v>0</v>
      </c>
      <c r="K7" s="3">
        <v>1</v>
      </c>
      <c r="L7" s="3">
        <v>0</v>
      </c>
      <c r="M7" s="3">
        <v>0</v>
      </c>
      <c r="N7" s="3">
        <v>0</v>
      </c>
      <c r="O7" s="3">
        <v>0.5</v>
      </c>
      <c r="P7" s="3">
        <v>0</v>
      </c>
      <c r="Q7" s="3">
        <v>0</v>
      </c>
      <c r="R7" s="3">
        <v>0</v>
      </c>
      <c r="S7" s="3">
        <v>0</v>
      </c>
      <c r="T7" s="178">
        <v>1</v>
      </c>
    </row>
    <row r="8" spans="1:20" ht="16" x14ac:dyDescent="0.2">
      <c r="A8" s="181" t="s">
        <v>139</v>
      </c>
      <c r="B8" s="36">
        <f t="shared" si="0"/>
        <v>0</v>
      </c>
      <c r="C8" s="36">
        <f t="shared" si="1"/>
        <v>0</v>
      </c>
      <c r="D8" s="36">
        <f t="shared" si="2"/>
        <v>0</v>
      </c>
      <c r="E8" s="36">
        <f t="shared" si="3"/>
        <v>0</v>
      </c>
      <c r="F8" s="36">
        <f t="shared" si="4"/>
        <v>0</v>
      </c>
      <c r="G8" s="36">
        <f t="shared" si="5"/>
        <v>0</v>
      </c>
      <c r="H8" s="36"/>
      <c r="I8" s="36"/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178">
        <v>9</v>
      </c>
    </row>
    <row r="9" spans="1:20" ht="16" x14ac:dyDescent="0.2">
      <c r="A9" s="181" t="s">
        <v>21</v>
      </c>
      <c r="B9" s="36">
        <f t="shared" si="0"/>
        <v>42</v>
      </c>
      <c r="C9" s="36">
        <f t="shared" si="1"/>
        <v>0</v>
      </c>
      <c r="D9" s="36">
        <f t="shared" si="2"/>
        <v>0</v>
      </c>
      <c r="E9" s="36">
        <f t="shared" si="3"/>
        <v>0</v>
      </c>
      <c r="F9" s="36">
        <f t="shared" si="4"/>
        <v>0</v>
      </c>
      <c r="G9" s="36">
        <f t="shared" si="5"/>
        <v>0</v>
      </c>
      <c r="H9" s="36">
        <f t="shared" ref="H9:I15" si="6">(T9+V9+W9+X9+Y9+U9)*Z9</f>
        <v>0</v>
      </c>
      <c r="I9" s="36">
        <f t="shared" si="6"/>
        <v>0</v>
      </c>
      <c r="K9" s="3">
        <v>4</v>
      </c>
      <c r="L9" s="3">
        <v>4</v>
      </c>
      <c r="M9" s="3">
        <v>0</v>
      </c>
      <c r="N9" s="3">
        <v>0</v>
      </c>
      <c r="O9" s="3">
        <v>2</v>
      </c>
      <c r="P9" s="3">
        <v>30</v>
      </c>
      <c r="Q9" s="3">
        <v>2</v>
      </c>
      <c r="R9" s="3">
        <v>5</v>
      </c>
      <c r="S9" s="3">
        <v>5</v>
      </c>
      <c r="T9" s="178">
        <v>1</v>
      </c>
    </row>
    <row r="10" spans="1:20" ht="16" x14ac:dyDescent="0.2">
      <c r="A10" s="181" t="s">
        <v>25</v>
      </c>
      <c r="B10" s="36">
        <f t="shared" si="0"/>
        <v>19</v>
      </c>
      <c r="C10" s="36">
        <f t="shared" si="1"/>
        <v>0</v>
      </c>
      <c r="D10" s="36">
        <f t="shared" si="2"/>
        <v>0</v>
      </c>
      <c r="E10" s="36">
        <f t="shared" si="3"/>
        <v>0</v>
      </c>
      <c r="F10" s="36">
        <f t="shared" si="4"/>
        <v>0</v>
      </c>
      <c r="G10" s="36">
        <f t="shared" si="5"/>
        <v>0</v>
      </c>
      <c r="H10" s="36">
        <f t="shared" si="6"/>
        <v>0</v>
      </c>
      <c r="I10" s="36">
        <f t="shared" si="6"/>
        <v>0</v>
      </c>
      <c r="K10" s="3">
        <v>2</v>
      </c>
      <c r="L10" s="3">
        <v>4</v>
      </c>
      <c r="M10" s="3">
        <v>2</v>
      </c>
      <c r="N10" s="3">
        <v>0</v>
      </c>
      <c r="O10" s="3">
        <v>4</v>
      </c>
      <c r="P10" s="3">
        <v>6</v>
      </c>
      <c r="Q10" s="3">
        <v>1</v>
      </c>
      <c r="R10" s="3">
        <v>3</v>
      </c>
      <c r="S10" s="3">
        <v>3</v>
      </c>
      <c r="T10" s="178">
        <v>1</v>
      </c>
    </row>
    <row r="11" spans="1:20" ht="16" x14ac:dyDescent="0.2">
      <c r="A11" s="181" t="s">
        <v>27</v>
      </c>
      <c r="B11" s="36">
        <f t="shared" si="0"/>
        <v>8.5</v>
      </c>
      <c r="C11" s="36">
        <f t="shared" si="1"/>
        <v>0</v>
      </c>
      <c r="D11" s="36">
        <f t="shared" si="2"/>
        <v>0</v>
      </c>
      <c r="E11" s="36">
        <f t="shared" si="3"/>
        <v>0</v>
      </c>
      <c r="F11" s="36">
        <f t="shared" si="4"/>
        <v>0</v>
      </c>
      <c r="G11" s="36">
        <f t="shared" si="5"/>
        <v>0</v>
      </c>
      <c r="H11" s="36">
        <f t="shared" si="6"/>
        <v>0</v>
      </c>
      <c r="I11" s="36">
        <f t="shared" si="6"/>
        <v>0</v>
      </c>
      <c r="K11" s="3">
        <v>1</v>
      </c>
      <c r="L11" s="3">
        <v>2</v>
      </c>
      <c r="M11" s="3">
        <v>0</v>
      </c>
      <c r="N11" s="3">
        <v>1</v>
      </c>
      <c r="O11" s="3">
        <v>1</v>
      </c>
      <c r="P11" s="3">
        <v>3</v>
      </c>
      <c r="Q11" s="3">
        <v>0.5</v>
      </c>
      <c r="R11" s="3">
        <v>4</v>
      </c>
      <c r="S11" s="3">
        <v>3</v>
      </c>
      <c r="T11" s="178">
        <v>1</v>
      </c>
    </row>
    <row r="12" spans="1:20" ht="16" x14ac:dyDescent="0.2">
      <c r="A12" s="181" t="s">
        <v>28</v>
      </c>
      <c r="B12" s="36">
        <f t="shared" si="0"/>
        <v>3</v>
      </c>
      <c r="C12" s="36">
        <f t="shared" si="1"/>
        <v>0</v>
      </c>
      <c r="D12" s="36">
        <f t="shared" si="2"/>
        <v>0</v>
      </c>
      <c r="E12" s="36">
        <f t="shared" si="3"/>
        <v>0</v>
      </c>
      <c r="F12" s="36">
        <f t="shared" si="4"/>
        <v>0</v>
      </c>
      <c r="G12" s="36">
        <f t="shared" si="5"/>
        <v>0</v>
      </c>
      <c r="H12" s="36">
        <f t="shared" si="6"/>
        <v>0</v>
      </c>
      <c r="I12" s="36">
        <f t="shared" si="6"/>
        <v>0</v>
      </c>
      <c r="K12" s="3">
        <v>0</v>
      </c>
      <c r="L12" s="3">
        <v>1</v>
      </c>
      <c r="M12" s="3">
        <v>0</v>
      </c>
      <c r="N12" s="3">
        <v>0</v>
      </c>
      <c r="O12" s="3">
        <v>0</v>
      </c>
      <c r="P12" s="3">
        <v>2</v>
      </c>
      <c r="Q12" s="3">
        <v>0</v>
      </c>
      <c r="R12" s="3">
        <v>4</v>
      </c>
      <c r="S12" s="3">
        <v>4</v>
      </c>
      <c r="T12" s="178">
        <v>1</v>
      </c>
    </row>
    <row r="13" spans="1:20" ht="16" x14ac:dyDescent="0.2">
      <c r="A13" s="181" t="s">
        <v>47</v>
      </c>
      <c r="B13" s="36">
        <f t="shared" si="0"/>
        <v>17</v>
      </c>
      <c r="C13" s="36">
        <f t="shared" si="1"/>
        <v>0</v>
      </c>
      <c r="D13" s="36">
        <f t="shared" si="2"/>
        <v>0</v>
      </c>
      <c r="E13" s="36">
        <f t="shared" si="3"/>
        <v>0</v>
      </c>
      <c r="F13" s="36">
        <f t="shared" si="4"/>
        <v>0</v>
      </c>
      <c r="G13" s="36">
        <f t="shared" si="5"/>
        <v>0</v>
      </c>
      <c r="H13" s="36">
        <f t="shared" si="6"/>
        <v>0</v>
      </c>
      <c r="I13" s="36">
        <f t="shared" si="6"/>
        <v>0</v>
      </c>
      <c r="K13" s="3">
        <v>2</v>
      </c>
      <c r="L13" s="3">
        <v>3</v>
      </c>
      <c r="M13" s="3">
        <v>1</v>
      </c>
      <c r="N13" s="3">
        <v>0</v>
      </c>
      <c r="O13" s="3">
        <v>1</v>
      </c>
      <c r="P13" s="3">
        <v>9</v>
      </c>
      <c r="Q13" s="3">
        <v>1</v>
      </c>
      <c r="R13" s="3">
        <v>3</v>
      </c>
      <c r="S13" s="3">
        <v>2</v>
      </c>
      <c r="T13" s="178">
        <v>1</v>
      </c>
    </row>
    <row r="14" spans="1:20" ht="16" x14ac:dyDescent="0.2">
      <c r="A14" s="181" t="s">
        <v>12</v>
      </c>
      <c r="B14" s="36">
        <f t="shared" si="0"/>
        <v>16</v>
      </c>
      <c r="C14" s="36">
        <f t="shared" si="1"/>
        <v>0</v>
      </c>
      <c r="D14" s="36">
        <f t="shared" si="2"/>
        <v>0</v>
      </c>
      <c r="E14" s="36">
        <f t="shared" si="3"/>
        <v>0</v>
      </c>
      <c r="F14" s="36">
        <f t="shared" si="4"/>
        <v>0</v>
      </c>
      <c r="G14" s="36">
        <f t="shared" si="5"/>
        <v>0</v>
      </c>
      <c r="H14" s="36">
        <f t="shared" si="6"/>
        <v>0</v>
      </c>
      <c r="I14" s="36">
        <f t="shared" si="6"/>
        <v>0</v>
      </c>
      <c r="K14" s="3">
        <v>2</v>
      </c>
      <c r="L14" s="3">
        <v>2</v>
      </c>
      <c r="M14" s="3">
        <v>0</v>
      </c>
      <c r="N14" s="3">
        <v>0</v>
      </c>
      <c r="O14" s="3">
        <v>1</v>
      </c>
      <c r="P14" s="3">
        <v>10</v>
      </c>
      <c r="Q14" s="3">
        <v>1</v>
      </c>
      <c r="R14" s="3">
        <v>3</v>
      </c>
      <c r="S14" s="3">
        <v>3</v>
      </c>
      <c r="T14" s="178">
        <v>1</v>
      </c>
    </row>
    <row r="15" spans="1:20" ht="16" x14ac:dyDescent="0.2">
      <c r="A15" s="181" t="s">
        <v>110</v>
      </c>
      <c r="B15" s="36">
        <f t="shared" si="0"/>
        <v>3</v>
      </c>
      <c r="C15" s="36">
        <f t="shared" si="1"/>
        <v>0</v>
      </c>
      <c r="D15" s="36">
        <f t="shared" si="2"/>
        <v>0</v>
      </c>
      <c r="E15" s="36">
        <f t="shared" si="3"/>
        <v>0</v>
      </c>
      <c r="F15" s="36">
        <f t="shared" si="4"/>
        <v>0</v>
      </c>
      <c r="G15" s="36">
        <f t="shared" si="5"/>
        <v>0</v>
      </c>
      <c r="H15" s="36">
        <f t="shared" si="6"/>
        <v>0</v>
      </c>
      <c r="I15" s="36">
        <f t="shared" si="6"/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2</v>
      </c>
      <c r="Q15" s="3">
        <v>0</v>
      </c>
      <c r="R15" s="3">
        <v>3</v>
      </c>
      <c r="S15" s="3">
        <v>3</v>
      </c>
      <c r="T15" s="178">
        <v>1</v>
      </c>
    </row>
    <row r="16" spans="1:20" ht="16" x14ac:dyDescent="0.2">
      <c r="A16" s="181" t="s">
        <v>111</v>
      </c>
      <c r="B16" s="36">
        <f t="shared" si="0"/>
        <v>3</v>
      </c>
      <c r="C16" s="36">
        <f t="shared" si="1"/>
        <v>0</v>
      </c>
      <c r="D16" s="36">
        <f t="shared" si="2"/>
        <v>0</v>
      </c>
      <c r="E16" s="36">
        <f t="shared" si="3"/>
        <v>0</v>
      </c>
      <c r="F16" s="36">
        <f t="shared" si="4"/>
        <v>0</v>
      </c>
      <c r="G16" s="36">
        <f t="shared" si="5"/>
        <v>0</v>
      </c>
      <c r="H16" s="36">
        <f t="shared" ref="H16:H23" si="7">(T16+V16+W16+X16+Y16+U16)*Z16</f>
        <v>0</v>
      </c>
      <c r="I16" s="36"/>
      <c r="K16" s="3">
        <v>0</v>
      </c>
      <c r="L16" s="3">
        <v>0</v>
      </c>
      <c r="M16" s="3">
        <v>0</v>
      </c>
      <c r="N16" s="3">
        <v>0</v>
      </c>
      <c r="O16" s="3">
        <v>1</v>
      </c>
      <c r="P16" s="3">
        <v>2</v>
      </c>
      <c r="Q16" s="3">
        <v>0</v>
      </c>
      <c r="R16" s="3">
        <v>3</v>
      </c>
      <c r="S16" s="3">
        <v>3</v>
      </c>
      <c r="T16" s="178">
        <v>1</v>
      </c>
    </row>
    <row r="17" spans="1:20" ht="16" x14ac:dyDescent="0.2">
      <c r="A17" s="181" t="s">
        <v>49</v>
      </c>
      <c r="B17" s="36">
        <f t="shared" si="0"/>
        <v>8</v>
      </c>
      <c r="C17" s="36">
        <f t="shared" si="1"/>
        <v>0</v>
      </c>
      <c r="D17" s="36">
        <f t="shared" si="2"/>
        <v>0</v>
      </c>
      <c r="E17" s="36">
        <f t="shared" si="3"/>
        <v>0</v>
      </c>
      <c r="F17" s="36">
        <f t="shared" si="4"/>
        <v>0</v>
      </c>
      <c r="G17" s="36">
        <f t="shared" si="5"/>
        <v>0</v>
      </c>
      <c r="H17" s="36">
        <f t="shared" si="7"/>
        <v>0</v>
      </c>
      <c r="I17" s="36">
        <f t="shared" ref="I17:I23" si="8">(U17+W17+X17+Y17+Z17+V17)*AA17</f>
        <v>0</v>
      </c>
      <c r="K17" s="3">
        <v>1</v>
      </c>
      <c r="L17" s="3">
        <v>1</v>
      </c>
      <c r="M17" s="3">
        <v>0</v>
      </c>
      <c r="N17" s="3">
        <v>0</v>
      </c>
      <c r="O17" s="3">
        <v>0</v>
      </c>
      <c r="P17" s="3">
        <v>2</v>
      </c>
      <c r="Q17" s="3">
        <v>0</v>
      </c>
      <c r="R17" s="3">
        <v>3</v>
      </c>
      <c r="S17" s="3">
        <v>3</v>
      </c>
      <c r="T17" s="151">
        <v>2</v>
      </c>
    </row>
    <row r="18" spans="1:20" ht="16" x14ac:dyDescent="0.2">
      <c r="A18" s="181" t="s">
        <v>30</v>
      </c>
      <c r="B18" s="36">
        <f t="shared" si="0"/>
        <v>3.5</v>
      </c>
      <c r="C18" s="36">
        <f t="shared" si="1"/>
        <v>0</v>
      </c>
      <c r="D18" s="36">
        <f t="shared" si="2"/>
        <v>0</v>
      </c>
      <c r="E18" s="36">
        <f t="shared" si="3"/>
        <v>0</v>
      </c>
      <c r="F18" s="36">
        <f t="shared" si="4"/>
        <v>0</v>
      </c>
      <c r="G18" s="36">
        <f t="shared" si="5"/>
        <v>0</v>
      </c>
      <c r="H18" s="36">
        <f t="shared" si="7"/>
        <v>0</v>
      </c>
      <c r="I18" s="36">
        <f t="shared" si="8"/>
        <v>0</v>
      </c>
      <c r="K18" s="3">
        <v>0</v>
      </c>
      <c r="L18" s="3">
        <v>1</v>
      </c>
      <c r="M18" s="3">
        <v>0</v>
      </c>
      <c r="N18" s="3">
        <v>0</v>
      </c>
      <c r="O18" s="3">
        <v>0.5</v>
      </c>
      <c r="P18" s="3">
        <v>2</v>
      </c>
      <c r="Q18" s="3">
        <v>0</v>
      </c>
      <c r="R18" s="3">
        <v>3</v>
      </c>
      <c r="S18" s="3">
        <v>3</v>
      </c>
      <c r="T18" s="178">
        <v>1</v>
      </c>
    </row>
    <row r="19" spans="1:20" ht="16" hidden="1" x14ac:dyDescent="0.2">
      <c r="A19" s="182" t="s">
        <v>40</v>
      </c>
      <c r="B19" s="36">
        <f t="shared" si="0"/>
        <v>0</v>
      </c>
      <c r="C19" s="36">
        <f t="shared" si="1"/>
        <v>0</v>
      </c>
      <c r="D19" s="36">
        <f t="shared" si="2"/>
        <v>0</v>
      </c>
      <c r="E19" s="36">
        <f t="shared" si="3"/>
        <v>0</v>
      </c>
      <c r="F19" s="36">
        <f t="shared" si="4"/>
        <v>0</v>
      </c>
      <c r="G19" s="36">
        <f t="shared" si="5"/>
        <v>0</v>
      </c>
      <c r="H19" s="36">
        <f t="shared" si="7"/>
        <v>0</v>
      </c>
      <c r="I19" s="36">
        <f t="shared" si="8"/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 spans="1:20" ht="16" hidden="1" x14ac:dyDescent="0.2">
      <c r="A20" s="182" t="s">
        <v>42</v>
      </c>
      <c r="B20" s="36">
        <f t="shared" si="0"/>
        <v>0</v>
      </c>
      <c r="C20" s="36">
        <f t="shared" si="1"/>
        <v>0</v>
      </c>
      <c r="D20" s="36">
        <f t="shared" si="2"/>
        <v>0</v>
      </c>
      <c r="E20" s="36">
        <f t="shared" si="3"/>
        <v>0</v>
      </c>
      <c r="F20" s="36">
        <f t="shared" si="4"/>
        <v>0</v>
      </c>
      <c r="G20" s="36">
        <f t="shared" si="5"/>
        <v>0</v>
      </c>
      <c r="H20" s="36">
        <f t="shared" si="7"/>
        <v>0</v>
      </c>
      <c r="I20" s="36">
        <f t="shared" si="8"/>
        <v>0</v>
      </c>
      <c r="K20" s="3"/>
      <c r="L20" s="3"/>
      <c r="M20" s="3"/>
      <c r="N20" s="3"/>
      <c r="O20" s="3"/>
      <c r="P20" s="3"/>
      <c r="Q20" s="3"/>
      <c r="R20" s="3"/>
      <c r="S20" s="3"/>
    </row>
    <row r="21" spans="1:20" ht="16" hidden="1" x14ac:dyDescent="0.2">
      <c r="A21" s="182" t="s">
        <v>43</v>
      </c>
      <c r="B21" s="36">
        <f t="shared" si="0"/>
        <v>0</v>
      </c>
      <c r="C21" s="36">
        <f t="shared" si="1"/>
        <v>0</v>
      </c>
      <c r="D21" s="36">
        <f t="shared" si="2"/>
        <v>0</v>
      </c>
      <c r="E21" s="36">
        <f t="shared" si="3"/>
        <v>0</v>
      </c>
      <c r="F21" s="36">
        <f t="shared" si="4"/>
        <v>0</v>
      </c>
      <c r="G21" s="36">
        <f t="shared" si="5"/>
        <v>0</v>
      </c>
      <c r="H21" s="36">
        <f t="shared" si="7"/>
        <v>0</v>
      </c>
      <c r="I21" s="36">
        <f t="shared" si="8"/>
        <v>0</v>
      </c>
      <c r="K21" s="3"/>
      <c r="L21" s="3"/>
      <c r="M21" s="3"/>
      <c r="N21" s="3"/>
      <c r="O21" s="3"/>
      <c r="P21" s="3"/>
      <c r="Q21" s="3"/>
      <c r="R21" s="3"/>
      <c r="S21" s="3"/>
    </row>
    <row r="22" spans="1:20" ht="16" x14ac:dyDescent="0.2">
      <c r="A22" s="181" t="s">
        <v>140</v>
      </c>
      <c r="B22" s="36">
        <f t="shared" si="0"/>
        <v>16</v>
      </c>
      <c r="C22" s="36">
        <f t="shared" si="1"/>
        <v>0</v>
      </c>
      <c r="D22" s="36">
        <f t="shared" si="2"/>
        <v>0</v>
      </c>
      <c r="E22" s="36">
        <f t="shared" si="3"/>
        <v>0</v>
      </c>
      <c r="F22" s="36">
        <f t="shared" si="4"/>
        <v>0</v>
      </c>
      <c r="G22" s="36">
        <f t="shared" si="5"/>
        <v>0</v>
      </c>
      <c r="H22" s="36">
        <f t="shared" si="7"/>
        <v>0</v>
      </c>
      <c r="I22" s="36">
        <f t="shared" si="8"/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3</v>
      </c>
      <c r="Q22" s="3">
        <v>0</v>
      </c>
      <c r="R22" s="3">
        <v>3</v>
      </c>
      <c r="S22" s="3">
        <v>3</v>
      </c>
      <c r="T22" s="151">
        <v>4</v>
      </c>
    </row>
    <row r="23" spans="1:20" ht="16" x14ac:dyDescent="0.2">
      <c r="A23" s="181" t="s">
        <v>41</v>
      </c>
      <c r="B23" s="36">
        <f t="shared" si="0"/>
        <v>21</v>
      </c>
      <c r="C23" s="36">
        <f t="shared" si="1"/>
        <v>0</v>
      </c>
      <c r="D23" s="36">
        <f t="shared" si="2"/>
        <v>0</v>
      </c>
      <c r="E23" s="36">
        <f t="shared" si="3"/>
        <v>0</v>
      </c>
      <c r="F23" s="36">
        <f t="shared" si="4"/>
        <v>0</v>
      </c>
      <c r="G23" s="36">
        <f t="shared" si="5"/>
        <v>0</v>
      </c>
      <c r="H23" s="36">
        <f t="shared" si="7"/>
        <v>0</v>
      </c>
      <c r="I23" s="36">
        <f t="shared" si="8"/>
        <v>0</v>
      </c>
      <c r="K23" s="3">
        <v>4</v>
      </c>
      <c r="L23" s="3">
        <v>8</v>
      </c>
      <c r="M23" s="3">
        <v>0</v>
      </c>
      <c r="N23" s="3">
        <v>0</v>
      </c>
      <c r="O23" s="3">
        <v>2</v>
      </c>
      <c r="P23" s="3">
        <v>6</v>
      </c>
      <c r="Q23" s="3">
        <v>1</v>
      </c>
      <c r="R23" s="3">
        <v>2</v>
      </c>
      <c r="S23" s="3">
        <v>2</v>
      </c>
      <c r="T23" s="151">
        <v>1</v>
      </c>
    </row>
    <row r="24" spans="1:20" ht="9" customHeight="1" x14ac:dyDescent="0.2">
      <c r="A24" s="196"/>
      <c r="B24" s="195"/>
      <c r="C24" s="195"/>
      <c r="D24" s="195"/>
      <c r="E24" s="195"/>
      <c r="F24" s="195"/>
      <c r="G24" s="195"/>
      <c r="H24" s="195"/>
      <c r="I24" s="195"/>
      <c r="J24" s="194"/>
      <c r="K24" s="193"/>
      <c r="L24" s="193"/>
      <c r="M24" s="193"/>
      <c r="N24" s="193"/>
      <c r="O24" s="193"/>
      <c r="P24" s="193"/>
      <c r="Q24" s="193"/>
      <c r="R24" s="193"/>
      <c r="S24" s="193"/>
      <c r="T24" s="192"/>
    </row>
    <row r="25" spans="1:20" ht="16" x14ac:dyDescent="0.2">
      <c r="A25" s="181" t="s">
        <v>141</v>
      </c>
      <c r="B25" s="36">
        <f>(K25+L25+N25+O25+P25+Q25+M25)*T25</f>
        <v>0</v>
      </c>
      <c r="C25" s="36"/>
      <c r="D25" s="36"/>
      <c r="E25" s="36"/>
      <c r="F25" s="36"/>
      <c r="G25" s="36"/>
      <c r="H25" s="36"/>
      <c r="I25" s="36"/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178">
        <v>12</v>
      </c>
    </row>
    <row r="26" spans="1:20" ht="16" x14ac:dyDescent="0.2">
      <c r="A26" s="181" t="s">
        <v>142</v>
      </c>
      <c r="B26" s="36">
        <f>(K26+L26+N26+O26+P26+Q26+M26)*T26</f>
        <v>18</v>
      </c>
      <c r="C26" s="36"/>
      <c r="D26" s="36"/>
      <c r="E26" s="36"/>
      <c r="F26" s="36"/>
      <c r="G26" s="36"/>
      <c r="H26" s="36"/>
      <c r="I26" s="36"/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1.5</v>
      </c>
      <c r="Q26" s="3">
        <v>0</v>
      </c>
      <c r="R26" s="3">
        <v>3</v>
      </c>
      <c r="S26" s="3">
        <v>2</v>
      </c>
      <c r="T26" s="178">
        <v>12</v>
      </c>
    </row>
    <row r="27" spans="1:20" ht="16" x14ac:dyDescent="0.2">
      <c r="A27" s="181" t="s">
        <v>143</v>
      </c>
      <c r="B27" s="36">
        <f>(K27+L27+N27+O27+P27+Q27+M27)*T27</f>
        <v>39</v>
      </c>
      <c r="C27" s="36"/>
      <c r="D27" s="36"/>
      <c r="E27" s="36"/>
      <c r="F27" s="36"/>
      <c r="G27" s="36"/>
      <c r="H27" s="36"/>
      <c r="I27" s="36"/>
      <c r="K27" s="3">
        <v>1</v>
      </c>
      <c r="L27" s="3">
        <v>0</v>
      </c>
      <c r="M27" s="3">
        <v>0</v>
      </c>
      <c r="N27" s="3">
        <v>0</v>
      </c>
      <c r="O27" s="3">
        <v>0.25</v>
      </c>
      <c r="P27" s="3">
        <v>1.5</v>
      </c>
      <c r="Q27" s="3">
        <v>0.5</v>
      </c>
      <c r="R27" s="3">
        <v>3</v>
      </c>
      <c r="S27" s="3">
        <v>3</v>
      </c>
      <c r="T27" s="178">
        <v>12</v>
      </c>
    </row>
    <row r="28" spans="1:20" ht="16" x14ac:dyDescent="0.2">
      <c r="A28" s="181" t="s">
        <v>144</v>
      </c>
      <c r="B28" s="36">
        <f>(K28+L28+N28+O28+P28+Q28+M28)*T28</f>
        <v>51</v>
      </c>
      <c r="C28" s="36"/>
      <c r="D28" s="36"/>
      <c r="E28" s="36"/>
      <c r="F28" s="36"/>
      <c r="G28" s="36"/>
      <c r="H28" s="36"/>
      <c r="I28" s="36"/>
      <c r="K28" s="3">
        <v>1</v>
      </c>
      <c r="L28" s="3">
        <v>0.5</v>
      </c>
      <c r="M28" s="3">
        <v>0</v>
      </c>
      <c r="N28" s="3">
        <v>0</v>
      </c>
      <c r="O28" s="3">
        <v>0.25</v>
      </c>
      <c r="P28" s="3">
        <v>2</v>
      </c>
      <c r="Q28" s="3">
        <v>0.5</v>
      </c>
      <c r="R28" s="3">
        <v>3</v>
      </c>
      <c r="S28" s="3">
        <v>3</v>
      </c>
      <c r="T28" s="178">
        <v>12</v>
      </c>
    </row>
    <row r="29" spans="1:20" ht="16" x14ac:dyDescent="0.2">
      <c r="A29" s="181" t="s">
        <v>145</v>
      </c>
      <c r="B29" s="36">
        <f>(K29+L29+N29+O29+P29+Q29+M29)*T29</f>
        <v>51</v>
      </c>
      <c r="C29" s="36"/>
      <c r="D29" s="36"/>
      <c r="E29" s="36"/>
      <c r="F29" s="36"/>
      <c r="G29" s="36"/>
      <c r="H29" s="36"/>
      <c r="I29" s="36"/>
      <c r="K29" s="3">
        <v>1</v>
      </c>
      <c r="L29" s="3">
        <v>0.5</v>
      </c>
      <c r="M29" s="3">
        <v>0</v>
      </c>
      <c r="N29" s="3">
        <v>0</v>
      </c>
      <c r="O29" s="3">
        <v>0.25</v>
      </c>
      <c r="P29" s="3">
        <v>2</v>
      </c>
      <c r="Q29" s="3">
        <v>0.5</v>
      </c>
      <c r="R29" s="3">
        <v>3</v>
      </c>
      <c r="S29" s="3">
        <v>3</v>
      </c>
      <c r="T29" s="178">
        <v>12</v>
      </c>
    </row>
    <row r="30" spans="1:20" ht="6.75" customHeight="1" x14ac:dyDescent="0.2">
      <c r="A30" s="196"/>
      <c r="B30" s="195"/>
      <c r="C30" s="195"/>
      <c r="D30" s="195"/>
      <c r="E30" s="195"/>
      <c r="F30" s="195"/>
      <c r="G30" s="195"/>
      <c r="H30" s="195"/>
      <c r="I30" s="195"/>
      <c r="J30" s="194"/>
      <c r="K30" s="193"/>
      <c r="L30" s="193"/>
      <c r="M30" s="193"/>
      <c r="N30" s="193"/>
      <c r="O30" s="193"/>
      <c r="P30" s="193"/>
      <c r="Q30" s="193"/>
      <c r="R30" s="193"/>
      <c r="S30" s="193"/>
      <c r="T30" s="192"/>
    </row>
    <row r="31" spans="1:20" ht="16" x14ac:dyDescent="0.2">
      <c r="A31" s="181" t="s">
        <v>146</v>
      </c>
      <c r="B31" s="36">
        <f t="shared" ref="B31:B37" si="9">(K31+L31+N31+O31+P31+Q31+M31)*T31</f>
        <v>0</v>
      </c>
      <c r="C31" s="36">
        <f>(M31+O31+P31+Q31+T31+N31)*U31</f>
        <v>0</v>
      </c>
      <c r="D31" s="36">
        <f>(N31+P31+Q31+T31+U31+O31)*V31</f>
        <v>0</v>
      </c>
      <c r="E31" s="36">
        <f>(O31+Q31+T31+U31+V31+P31)*W31</f>
        <v>0</v>
      </c>
      <c r="F31" s="36">
        <f>(P31+T31+U31+V31+W31+Q31)*X31</f>
        <v>0</v>
      </c>
      <c r="G31" s="36">
        <f>(Q31+U31+V31+W31+X31+T31)*Y31</f>
        <v>0</v>
      </c>
      <c r="H31" s="36">
        <f>(T31+V31+W31+X31+Y31+U31)*Z31</f>
        <v>0</v>
      </c>
      <c r="I31" s="36">
        <f>(U31+W31+X31+Y31+Z31+V31)*AA31</f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151">
        <v>12</v>
      </c>
    </row>
    <row r="32" spans="1:20" ht="16" x14ac:dyDescent="0.2">
      <c r="A32" s="181" t="s">
        <v>147</v>
      </c>
      <c r="B32" s="36">
        <f t="shared" si="9"/>
        <v>33</v>
      </c>
      <c r="C32" s="36"/>
      <c r="D32" s="36"/>
      <c r="E32" s="36"/>
      <c r="F32" s="36"/>
      <c r="G32" s="36"/>
      <c r="H32" s="36"/>
      <c r="I32" s="36"/>
      <c r="K32" s="3">
        <v>1</v>
      </c>
      <c r="L32" s="3">
        <v>0</v>
      </c>
      <c r="M32" s="3">
        <v>0</v>
      </c>
      <c r="N32" s="3">
        <v>0</v>
      </c>
      <c r="O32" s="3">
        <v>0.25</v>
      </c>
      <c r="P32" s="3">
        <v>1</v>
      </c>
      <c r="Q32" s="3">
        <v>0.5</v>
      </c>
      <c r="R32" s="3">
        <v>3</v>
      </c>
      <c r="S32" s="3">
        <v>3</v>
      </c>
      <c r="T32" s="151">
        <v>12</v>
      </c>
    </row>
    <row r="33" spans="1:20" ht="16" x14ac:dyDescent="0.2">
      <c r="A33" s="181" t="s">
        <v>148</v>
      </c>
      <c r="B33" s="36">
        <f t="shared" si="9"/>
        <v>0</v>
      </c>
      <c r="C33" s="36">
        <f>(M33+O33+P33+Q33+T33+N33)*U33</f>
        <v>0</v>
      </c>
      <c r="D33" s="36">
        <f>(N33+P33+Q33+T33+U33+O33)*V33</f>
        <v>0</v>
      </c>
      <c r="E33" s="36">
        <f>(O33+Q33+T33+U33+V33+P33)*W33</f>
        <v>0</v>
      </c>
      <c r="F33" s="36">
        <f>(P33+T33+U33+V33+W33+Q33)*X33</f>
        <v>0</v>
      </c>
      <c r="G33" s="36">
        <f>(Q33+U33+V33+W33+X33+T33)*Y33</f>
        <v>0</v>
      </c>
      <c r="H33" s="36">
        <f>(T33+V33+W33+X33+Y33+U33)*Z33</f>
        <v>0</v>
      </c>
      <c r="I33" s="36">
        <f>(U33+W33+X33+Y33+Z33+V33)*AA33</f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178">
        <v>12</v>
      </c>
    </row>
    <row r="34" spans="1:20" ht="16" x14ac:dyDescent="0.2">
      <c r="A34" s="181" t="s">
        <v>149</v>
      </c>
      <c r="B34" s="36">
        <f t="shared" si="9"/>
        <v>0</v>
      </c>
      <c r="C34" s="36">
        <f>(M34+O34+P34+Q34+T34+N34)*U34</f>
        <v>0</v>
      </c>
      <c r="D34" s="36">
        <f>(N34+P34+Q34+T34+U34+O34)*V34</f>
        <v>0</v>
      </c>
      <c r="E34" s="36">
        <f>(O34+Q34+T34+U34+V34+P34)*W34</f>
        <v>0</v>
      </c>
      <c r="F34" s="36">
        <f>(P34+T34+U34+V34+W34+Q34)*X34</f>
        <v>0</v>
      </c>
      <c r="G34" s="36">
        <f>(Q34+U34+V34+W34+X34+T34)*Y34</f>
        <v>0</v>
      </c>
      <c r="H34" s="36">
        <f>(T34+V34+W34+X34+Y34+U34)*Z34</f>
        <v>0</v>
      </c>
      <c r="I34" s="36">
        <f>(U34+W34+X34+Y34+Z34+V34)*AA34</f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178">
        <v>12</v>
      </c>
    </row>
    <row r="35" spans="1:20" ht="16" x14ac:dyDescent="0.2">
      <c r="A35" s="181" t="s">
        <v>150</v>
      </c>
      <c r="B35" s="36">
        <f t="shared" si="9"/>
        <v>0</v>
      </c>
      <c r="C35" s="36">
        <f>(M35+O35+P35+Q35+T35+N35)*U35</f>
        <v>0</v>
      </c>
      <c r="D35" s="36">
        <f>(N35+P35+Q35+T35+U35+O35)*V35</f>
        <v>0</v>
      </c>
      <c r="E35" s="36">
        <f>(O35+Q35+T35+U35+V35+P35)*W35</f>
        <v>0</v>
      </c>
      <c r="F35" s="36">
        <f>(P35+T35+U35+V35+W35+Q35)*X35</f>
        <v>0</v>
      </c>
      <c r="G35" s="36">
        <f>(Q35+U35+V35+W35+X35+T35)*Y35</f>
        <v>0</v>
      </c>
      <c r="H35" s="36">
        <f>(T35+V35+W35+X35+Y35+U35)*Z35</f>
        <v>0</v>
      </c>
      <c r="I35" s="36"/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178">
        <v>12</v>
      </c>
    </row>
    <row r="36" spans="1:20" ht="16" x14ac:dyDescent="0.2">
      <c r="A36" s="181" t="s">
        <v>151</v>
      </c>
      <c r="B36" s="36">
        <f t="shared" si="9"/>
        <v>0</v>
      </c>
      <c r="C36" s="36">
        <f>(M36+O36+P36+Q36+T36+N36)*U36</f>
        <v>0</v>
      </c>
      <c r="D36" s="36">
        <f>(N36+P36+Q36+T36+U36+O36)*V36</f>
        <v>0</v>
      </c>
      <c r="E36" s="36">
        <f>(O36+Q36+T36+U36+V36+P36)*W36</f>
        <v>0</v>
      </c>
      <c r="F36" s="36">
        <f>(P36+T36+U36+V36+W36+Q36)*X36</f>
        <v>0</v>
      </c>
      <c r="G36" s="36">
        <f>(Q36+U36+V36+W36+X36+T36)*Y36</f>
        <v>0</v>
      </c>
      <c r="H36" s="36">
        <f>(T36+V36+W36+X36+Y36+U36)*Z36</f>
        <v>0</v>
      </c>
      <c r="I36" s="36">
        <f>(U36+W36+X36+Y36+Z36+V36)*AA36</f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178">
        <v>12</v>
      </c>
    </row>
    <row r="37" spans="1:20" ht="16" x14ac:dyDescent="0.2">
      <c r="A37" s="181" t="s">
        <v>152</v>
      </c>
      <c r="B37" s="36">
        <f t="shared" si="9"/>
        <v>0</v>
      </c>
      <c r="C37" s="36">
        <f>(M37+O37+P37+Q37+T37+N37)*U37</f>
        <v>0</v>
      </c>
      <c r="D37" s="36">
        <f>(N37+P37+Q37+T37+U37+O37)*V37</f>
        <v>0</v>
      </c>
      <c r="E37" s="36">
        <f>(O37+Q37+T37+U37+V37+P37)*W37</f>
        <v>0</v>
      </c>
      <c r="F37" s="36">
        <f>(P37+T37+U37+V37+W37+Q37)*X37</f>
        <v>0</v>
      </c>
      <c r="G37" s="36">
        <f>(Q37+U37+V37+W37+X37+T37)*Y37</f>
        <v>0</v>
      </c>
      <c r="H37" s="36">
        <f>(T37+V37+W37+X37+Y37+U37)*Z37</f>
        <v>0</v>
      </c>
      <c r="I37" s="36">
        <f>(U37+W37+X37+Y37+Z37+V37)*AA37</f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178">
        <v>12</v>
      </c>
    </row>
    <row r="38" spans="1:20" ht="7.5" customHeight="1" x14ac:dyDescent="0.2">
      <c r="A38" s="193"/>
      <c r="B38" s="195"/>
      <c r="C38" s="195"/>
      <c r="D38" s="195"/>
      <c r="E38" s="195"/>
      <c r="F38" s="195"/>
      <c r="G38" s="195"/>
      <c r="H38" s="195"/>
      <c r="I38" s="195"/>
      <c r="J38" s="194"/>
      <c r="K38" s="193"/>
      <c r="L38" s="193"/>
      <c r="M38" s="193"/>
      <c r="N38" s="193"/>
      <c r="O38" s="193"/>
      <c r="P38" s="193"/>
      <c r="Q38" s="193"/>
      <c r="R38" s="193"/>
      <c r="S38" s="193"/>
      <c r="T38" s="192"/>
    </row>
    <row r="39" spans="1:20" ht="16" x14ac:dyDescent="0.2">
      <c r="A39" s="181" t="s">
        <v>153</v>
      </c>
      <c r="B39" s="36">
        <f>(K39+L39+N39+O39+P39+Q39+M39)*T39</f>
        <v>11</v>
      </c>
      <c r="C39" s="36">
        <f>(M39+O39+P39+Q39+T39+N39)*U39</f>
        <v>0</v>
      </c>
      <c r="D39" s="36">
        <f>(N39+P39+Q39+T39+U39+O39)*V39</f>
        <v>0</v>
      </c>
      <c r="E39" s="36">
        <f>(O39+Q39+T39+U39+V39+P39)*W39</f>
        <v>0</v>
      </c>
      <c r="F39" s="36">
        <f>(P39+T39+U39+V39+W39+Q39)*X39</f>
        <v>0</v>
      </c>
      <c r="G39" s="36">
        <f>(Q39+U39+V39+W39+X39+T39)*Y39</f>
        <v>0</v>
      </c>
      <c r="H39" s="36">
        <f t="shared" ref="H39:I43" si="10">(T39+V39+W39+X39+Y39+U39)*Z39</f>
        <v>0</v>
      </c>
      <c r="I39" s="36">
        <f t="shared" si="10"/>
        <v>0</v>
      </c>
      <c r="K39" s="3">
        <v>0.5</v>
      </c>
      <c r="L39" s="3">
        <v>0.5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</v>
      </c>
      <c r="S39" s="3">
        <v>2</v>
      </c>
      <c r="T39" s="178">
        <v>11</v>
      </c>
    </row>
    <row r="40" spans="1:20" ht="16" x14ac:dyDescent="0.2">
      <c r="A40" s="181" t="s">
        <v>154</v>
      </c>
      <c r="B40" s="36">
        <f>(K40+L40+N40+O40+P40+Q40+M40)*T40</f>
        <v>24</v>
      </c>
      <c r="C40" s="36">
        <f>(M40+O40+P40+Q40+T40+N40)*U40</f>
        <v>0</v>
      </c>
      <c r="D40" s="36">
        <f>(N40+P40+Q40+T40+U40+O40)*V40</f>
        <v>0</v>
      </c>
      <c r="E40" s="36">
        <f>(O40+Q40+T40+U40+V40+P40)*W40</f>
        <v>0</v>
      </c>
      <c r="F40" s="36">
        <f>(P40+T40+U40+V40+W40+Q40)*X40</f>
        <v>0</v>
      </c>
      <c r="G40" s="36">
        <f>(Q40+U40+V40+W40+X40+T40)*Y40</f>
        <v>0</v>
      </c>
      <c r="H40" s="36">
        <f t="shared" si="10"/>
        <v>0</v>
      </c>
      <c r="I40" s="36">
        <f t="shared" si="10"/>
        <v>0</v>
      </c>
      <c r="K40" s="3">
        <v>0.5</v>
      </c>
      <c r="L40" s="3">
        <v>0.5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</v>
      </c>
      <c r="S40" s="3">
        <v>2</v>
      </c>
      <c r="T40" s="178">
        <v>24</v>
      </c>
    </row>
    <row r="41" spans="1:20" ht="16" x14ac:dyDescent="0.2">
      <c r="A41" s="181" t="s">
        <v>155</v>
      </c>
      <c r="B41" s="36">
        <f>(K41+L41+N41+O41+P41+Q41+M41)*T41</f>
        <v>39</v>
      </c>
      <c r="C41" s="36">
        <f>(M41+O41+P41+Q41+T41+N41)*U41</f>
        <v>0</v>
      </c>
      <c r="D41" s="36">
        <f>(N41+P41+Q41+T41+U41+O41)*V41</f>
        <v>0</v>
      </c>
      <c r="E41" s="36">
        <f>(O41+Q41+T41+U41+V41+P41)*W41</f>
        <v>0</v>
      </c>
      <c r="F41" s="36">
        <f>(P41+T41+U41+V41+W41+Q41)*X41</f>
        <v>0</v>
      </c>
      <c r="G41" s="36">
        <f>(Q41+U41+V41+W41+X41+T41)*Y41</f>
        <v>0</v>
      </c>
      <c r="H41" s="36">
        <f t="shared" si="10"/>
        <v>0</v>
      </c>
      <c r="I41" s="36">
        <f t="shared" si="10"/>
        <v>0</v>
      </c>
      <c r="K41" s="3">
        <v>0.25</v>
      </c>
      <c r="L41" s="3">
        <v>0.25</v>
      </c>
      <c r="M41" s="3">
        <v>0</v>
      </c>
      <c r="N41" s="3">
        <v>0</v>
      </c>
      <c r="O41" s="3">
        <v>0</v>
      </c>
      <c r="P41" s="3">
        <v>0.25</v>
      </c>
      <c r="Q41" s="3">
        <v>0</v>
      </c>
      <c r="R41" s="3">
        <v>3</v>
      </c>
      <c r="S41" s="3">
        <v>2</v>
      </c>
      <c r="T41" s="178">
        <v>52</v>
      </c>
    </row>
    <row r="42" spans="1:20" ht="16" x14ac:dyDescent="0.2">
      <c r="A42" s="181" t="s">
        <v>156</v>
      </c>
      <c r="B42" s="36">
        <f>(K42+L42+N42+O42+P42+Q42+M42)*T42</f>
        <v>39</v>
      </c>
      <c r="C42" s="36">
        <f>(M42+O42+P42+Q42+T42+N42)*U42</f>
        <v>0</v>
      </c>
      <c r="D42" s="36">
        <f>(N42+P42+Q42+T42+U42+O42)*V42</f>
        <v>0</v>
      </c>
      <c r="E42" s="36">
        <f>(O42+Q42+T42+U42+V42+P42)*W42</f>
        <v>0</v>
      </c>
      <c r="F42" s="36">
        <f>(P42+T42+U42+V42+W42+Q42)*X42</f>
        <v>0</v>
      </c>
      <c r="G42" s="36">
        <f>(Q42+U42+V42+W42+X42+T42)*Y42</f>
        <v>0</v>
      </c>
      <c r="H42" s="36">
        <f t="shared" si="10"/>
        <v>0</v>
      </c>
      <c r="I42" s="36">
        <f t="shared" si="10"/>
        <v>0</v>
      </c>
      <c r="K42" s="3">
        <v>0.25</v>
      </c>
      <c r="L42" s="3">
        <v>0.25</v>
      </c>
      <c r="M42" s="3">
        <v>0</v>
      </c>
      <c r="N42" s="3">
        <v>0</v>
      </c>
      <c r="O42" s="3">
        <v>0</v>
      </c>
      <c r="P42" s="3">
        <v>0.25</v>
      </c>
      <c r="Q42" s="3">
        <v>0</v>
      </c>
      <c r="R42" s="3">
        <v>3</v>
      </c>
      <c r="S42" s="3">
        <v>3</v>
      </c>
      <c r="T42" s="178">
        <v>52</v>
      </c>
    </row>
    <row r="43" spans="1:20" ht="16" x14ac:dyDescent="0.2">
      <c r="A43" s="181" t="s">
        <v>157</v>
      </c>
      <c r="B43" s="36">
        <f>(K43+L43+N43+O43+P43+Q43+M43)*T43</f>
        <v>13</v>
      </c>
      <c r="C43" s="36">
        <f>(M43+O43+P43+Q43+T43+N43)*U43</f>
        <v>0</v>
      </c>
      <c r="D43" s="36">
        <f>(N43+P43+Q43+T43+U43+O43)*V43</f>
        <v>0</v>
      </c>
      <c r="E43" s="36">
        <f>(O43+Q43+T43+U43+V43+P43)*W43</f>
        <v>0</v>
      </c>
      <c r="F43" s="36">
        <f>(P43+T43+U43+V43+W43+Q43)*X43</f>
        <v>0</v>
      </c>
      <c r="G43" s="36">
        <f>(Q43+U43+V43+W43+X43+T43)*Y43</f>
        <v>0</v>
      </c>
      <c r="H43" s="36">
        <f t="shared" si="10"/>
        <v>0</v>
      </c>
      <c r="I43" s="36">
        <f t="shared" si="10"/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0.25</v>
      </c>
      <c r="Q43" s="3">
        <v>0</v>
      </c>
      <c r="R43" s="3">
        <v>4</v>
      </c>
      <c r="S43" s="3">
        <v>4</v>
      </c>
      <c r="T43" s="178">
        <v>52</v>
      </c>
    </row>
    <row r="44" spans="1:20" x14ac:dyDescent="0.2">
      <c r="B44" s="178">
        <f>SUM(B3:B43)</f>
        <v>620</v>
      </c>
    </row>
  </sheetData>
  <mergeCells count="1">
    <mergeCell ref="K1:S1"/>
  </mergeCells>
  <pageMargins left="0.7" right="0.7" top="0.75" bottom="0.75" header="0.3" footer="0.3"/>
  <pageSetup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F14-191F-4092-B89D-56B96A621CD7}">
  <sheetPr>
    <pageSetUpPr fitToPage="1"/>
  </sheetPr>
  <dimension ref="A1:AR42"/>
  <sheetViews>
    <sheetView topLeftCell="A4" zoomScale="90" zoomScaleNormal="90" workbookViewId="0">
      <pane xSplit="3" topLeftCell="M1" activePane="topRight" state="frozen"/>
      <selection activeCell="A5" sqref="A5"/>
      <selection pane="topRight" activeCell="A9" sqref="A9"/>
    </sheetView>
  </sheetViews>
  <sheetFormatPr baseColWidth="10" defaultColWidth="8.6640625" defaultRowHeight="16" x14ac:dyDescent="0.2"/>
  <cols>
    <col min="1" max="1" width="3.83203125" style="173" customWidth="1"/>
    <col min="2" max="2" width="9.5" style="172" customWidth="1"/>
    <col min="3" max="3" width="43.83203125" style="91" customWidth="1"/>
    <col min="4" max="4" width="10.33203125" style="173" customWidth="1"/>
    <col min="5" max="5" width="11" style="173" customWidth="1"/>
    <col min="6" max="8" width="9.5" style="174" customWidth="1"/>
    <col min="9" max="9" width="9.5" style="287" customWidth="1"/>
    <col min="10" max="10" width="8.33203125" style="173" customWidth="1"/>
    <col min="11" max="11" width="9.5" style="173" customWidth="1"/>
    <col min="12" max="14" width="8" style="173" customWidth="1"/>
    <col min="15" max="15" width="11.1640625" style="173" customWidth="1"/>
    <col min="16" max="21" width="8" style="172" customWidth="1"/>
    <col min="22" max="22" width="7.1640625" style="173" customWidth="1"/>
    <col min="23" max="23" width="7.1640625" customWidth="1"/>
    <col min="24" max="24" width="8.33203125" style="175" customWidth="1"/>
    <col min="25" max="25" width="8.6640625" style="173" customWidth="1"/>
    <col min="26" max="27" width="8.6640625" style="173"/>
    <col min="28" max="28" width="4" style="170" customWidth="1"/>
    <col min="29" max="29" width="1.6640625" style="173" customWidth="1"/>
    <col min="30" max="30" width="3.83203125" style="172" customWidth="1"/>
    <col min="31" max="31" width="42.33203125" style="173" customWidth="1"/>
    <col min="32" max="33" width="8.6640625" style="172"/>
    <col min="34" max="34" width="5.6640625" style="172" customWidth="1"/>
    <col min="35" max="35" width="5.33203125" style="172" customWidth="1"/>
    <col min="36" max="38" width="8.6640625" style="173"/>
    <col min="39" max="39" width="4.1640625" style="170" customWidth="1"/>
    <col min="40" max="16384" width="8.6640625" style="173"/>
  </cols>
  <sheetData>
    <row r="1" spans="1:44" s="4" customFormat="1" x14ac:dyDescent="0.2">
      <c r="B1" s="9"/>
      <c r="C1" s="91"/>
      <c r="D1" s="329" t="s">
        <v>172</v>
      </c>
      <c r="E1" s="330"/>
      <c r="F1" s="330"/>
      <c r="G1" s="330"/>
      <c r="H1" s="330"/>
      <c r="I1" s="331"/>
      <c r="J1" s="332" t="s">
        <v>173</v>
      </c>
      <c r="K1" s="333"/>
      <c r="L1" s="333"/>
      <c r="M1" s="333"/>
      <c r="N1" s="333"/>
      <c r="O1" s="334"/>
      <c r="P1" s="335" t="s">
        <v>183</v>
      </c>
      <c r="Q1" s="336"/>
      <c r="R1" s="336"/>
      <c r="S1" s="336"/>
      <c r="T1" s="336"/>
      <c r="U1" s="337"/>
      <c r="V1" s="341" t="s">
        <v>174</v>
      </c>
      <c r="W1" s="343" t="s">
        <v>175</v>
      </c>
      <c r="X1" s="219"/>
      <c r="Y1" s="338" t="s">
        <v>180</v>
      </c>
      <c r="Z1" s="339"/>
      <c r="AA1" s="340"/>
      <c r="AB1" s="15"/>
      <c r="AD1" s="9"/>
      <c r="AF1" s="9"/>
      <c r="AG1" s="9"/>
      <c r="AH1" s="9"/>
      <c r="AI1" s="9"/>
      <c r="AM1" s="15"/>
    </row>
    <row r="2" spans="1:44" s="1" customFormat="1" ht="30" x14ac:dyDescent="0.2">
      <c r="A2" s="2"/>
      <c r="B2" s="2"/>
      <c r="C2" s="21"/>
      <c r="D2" s="240">
        <v>2015</v>
      </c>
      <c r="E2" s="240">
        <v>2016</v>
      </c>
      <c r="F2" s="240">
        <v>2017</v>
      </c>
      <c r="G2" s="240">
        <v>2018</v>
      </c>
      <c r="H2" s="240">
        <v>2019</v>
      </c>
      <c r="I2" s="240">
        <v>2020</v>
      </c>
      <c r="J2" s="247">
        <v>2015</v>
      </c>
      <c r="K2" s="247">
        <v>2016</v>
      </c>
      <c r="L2" s="247">
        <v>2017</v>
      </c>
      <c r="M2" s="247">
        <v>2018</v>
      </c>
      <c r="N2" s="247">
        <v>2019</v>
      </c>
      <c r="O2" s="248">
        <v>2020</v>
      </c>
      <c r="P2" s="254">
        <v>2015</v>
      </c>
      <c r="Q2" s="254">
        <v>2016</v>
      </c>
      <c r="R2" s="254">
        <v>2017</v>
      </c>
      <c r="S2" s="254">
        <v>2018</v>
      </c>
      <c r="T2" s="254">
        <v>2019</v>
      </c>
      <c r="U2" s="255">
        <v>2020</v>
      </c>
      <c r="V2" s="342"/>
      <c r="W2" s="344"/>
      <c r="X2" s="18" t="s">
        <v>170</v>
      </c>
      <c r="Y2" s="237" t="s">
        <v>176</v>
      </c>
      <c r="Z2" s="237" t="s">
        <v>177</v>
      </c>
      <c r="AA2" s="238" t="s">
        <v>178</v>
      </c>
      <c r="AB2" s="12"/>
      <c r="AC2" s="10"/>
    </row>
    <row r="3" spans="1:44" ht="20" x14ac:dyDescent="0.2">
      <c r="A3" s="169">
        <v>1</v>
      </c>
      <c r="B3" s="16" t="s">
        <v>8</v>
      </c>
      <c r="C3" s="92" t="s">
        <v>9</v>
      </c>
      <c r="D3" s="242">
        <v>5656</v>
      </c>
      <c r="E3" s="232">
        <v>12500</v>
      </c>
      <c r="F3" s="232">
        <f>27125-11537</f>
        <v>15588</v>
      </c>
      <c r="G3" s="232">
        <v>10171</v>
      </c>
      <c r="H3" s="232">
        <f>29250-13014</f>
        <v>16236</v>
      </c>
      <c r="I3" s="232">
        <v>19107</v>
      </c>
      <c r="J3" s="250">
        <v>355</v>
      </c>
      <c r="K3" s="250">
        <v>309</v>
      </c>
      <c r="L3" s="250">
        <v>385</v>
      </c>
      <c r="M3" s="250">
        <v>335</v>
      </c>
      <c r="N3" s="250">
        <v>380</v>
      </c>
      <c r="O3" s="251">
        <v>380</v>
      </c>
      <c r="P3" s="257">
        <v>45.5</v>
      </c>
      <c r="Q3" s="257">
        <v>58.5</v>
      </c>
      <c r="R3" s="257">
        <v>69</v>
      </c>
      <c r="S3" s="257">
        <v>63</v>
      </c>
      <c r="T3" s="257">
        <v>72</v>
      </c>
      <c r="U3" s="258">
        <v>68</v>
      </c>
      <c r="V3" s="265">
        <v>5</v>
      </c>
      <c r="W3" s="207">
        <v>301</v>
      </c>
      <c r="X3" s="62">
        <v>55</v>
      </c>
      <c r="Y3" s="47"/>
      <c r="Z3" s="46"/>
      <c r="AA3" s="46"/>
      <c r="AC3" s="171"/>
    </row>
    <row r="4" spans="1:44" ht="20" x14ac:dyDescent="0.2">
      <c r="A4" s="169">
        <v>2</v>
      </c>
      <c r="B4" s="16" t="s">
        <v>11</v>
      </c>
      <c r="C4" s="92" t="s">
        <v>12</v>
      </c>
      <c r="D4" s="244">
        <f>5713+3500</f>
        <v>9213</v>
      </c>
      <c r="E4" s="233">
        <f>8715+3500</f>
        <v>12215</v>
      </c>
      <c r="F4" s="232">
        <f>14900-6490</f>
        <v>8410</v>
      </c>
      <c r="G4" s="232">
        <f>4152</f>
        <v>4152</v>
      </c>
      <c r="H4" s="232">
        <f>13460-7210</f>
        <v>6250</v>
      </c>
      <c r="I4" s="232" t="s">
        <v>165</v>
      </c>
      <c r="J4" s="250">
        <v>175</v>
      </c>
      <c r="K4" s="250">
        <v>182</v>
      </c>
      <c r="L4" s="250">
        <v>182</v>
      </c>
      <c r="M4" s="250">
        <v>117</v>
      </c>
      <c r="N4" s="250">
        <v>170</v>
      </c>
      <c r="O4" s="251" t="s">
        <v>165</v>
      </c>
      <c r="P4" s="257">
        <v>97</v>
      </c>
      <c r="Q4" s="257">
        <v>67</v>
      </c>
      <c r="R4" s="257">
        <v>59</v>
      </c>
      <c r="S4" s="257">
        <v>74</v>
      </c>
      <c r="T4" s="257">
        <v>95</v>
      </c>
      <c r="U4" s="259" t="s">
        <v>182</v>
      </c>
      <c r="V4" s="265">
        <v>4</v>
      </c>
      <c r="W4" s="207">
        <v>269</v>
      </c>
      <c r="X4" s="62">
        <v>85</v>
      </c>
      <c r="Y4" s="47"/>
      <c r="Z4" s="49"/>
      <c r="AA4" s="49"/>
      <c r="AC4" s="171"/>
    </row>
    <row r="5" spans="1:44" ht="20" x14ac:dyDescent="0.2">
      <c r="A5" s="169">
        <v>3</v>
      </c>
      <c r="B5" s="16" t="s">
        <v>11</v>
      </c>
      <c r="C5" s="92" t="s">
        <v>15</v>
      </c>
      <c r="D5" s="242">
        <v>1146</v>
      </c>
      <c r="E5" s="232">
        <v>1145</v>
      </c>
      <c r="F5" s="232">
        <v>-1812</v>
      </c>
      <c r="G5" s="232">
        <v>500</v>
      </c>
      <c r="H5" s="232">
        <f>2075-1479</f>
        <v>596</v>
      </c>
      <c r="I5" s="232" t="s">
        <v>165</v>
      </c>
      <c r="J5" s="250">
        <v>134</v>
      </c>
      <c r="K5" s="250">
        <v>100</v>
      </c>
      <c r="L5" s="250">
        <v>92</v>
      </c>
      <c r="M5" s="250">
        <v>96</v>
      </c>
      <c r="N5" s="250">
        <v>80</v>
      </c>
      <c r="O5" s="251" t="s">
        <v>165</v>
      </c>
      <c r="P5" s="261">
        <v>61</v>
      </c>
      <c r="Q5" s="261">
        <v>59</v>
      </c>
      <c r="R5" s="261">
        <v>58</v>
      </c>
      <c r="S5" s="261">
        <v>70</v>
      </c>
      <c r="T5" s="261">
        <v>75</v>
      </c>
      <c r="U5" s="262" t="s">
        <v>182</v>
      </c>
      <c r="V5" s="265">
        <v>2</v>
      </c>
      <c r="W5" s="207">
        <v>105</v>
      </c>
      <c r="X5" s="62">
        <v>0</v>
      </c>
      <c r="Y5" s="47"/>
      <c r="Z5" s="47"/>
      <c r="AA5" s="46"/>
      <c r="AC5" s="171"/>
    </row>
    <row r="6" spans="1:44" ht="20" x14ac:dyDescent="0.2">
      <c r="A6" s="169">
        <v>4</v>
      </c>
      <c r="B6" s="16" t="s">
        <v>16</v>
      </c>
      <c r="C6" s="92" t="s">
        <v>17</v>
      </c>
      <c r="D6" s="242">
        <v>4985</v>
      </c>
      <c r="E6" s="232">
        <v>6500</v>
      </c>
      <c r="F6" s="232">
        <v>-1359</v>
      </c>
      <c r="G6" s="232">
        <v>-5456</v>
      </c>
      <c r="H6" s="232">
        <f>15457-21738</f>
        <v>-6281</v>
      </c>
      <c r="I6" s="232">
        <v>100</v>
      </c>
      <c r="J6" s="250">
        <v>178</v>
      </c>
      <c r="K6" s="250">
        <v>245</v>
      </c>
      <c r="L6" s="250">
        <v>350</v>
      </c>
      <c r="M6" s="250">
        <v>272</v>
      </c>
      <c r="N6" s="250">
        <v>226</v>
      </c>
      <c r="O6" s="251">
        <v>115</v>
      </c>
      <c r="P6" s="257">
        <v>37</v>
      </c>
      <c r="Q6" s="257">
        <v>58</v>
      </c>
      <c r="R6" s="257">
        <v>80</v>
      </c>
      <c r="S6" s="257">
        <v>55</v>
      </c>
      <c r="T6" s="257">
        <v>26</v>
      </c>
      <c r="U6" s="258">
        <v>72</v>
      </c>
      <c r="V6" s="265">
        <v>5</v>
      </c>
      <c r="W6" s="207">
        <v>335</v>
      </c>
      <c r="X6" s="62">
        <v>65</v>
      </c>
      <c r="Y6" s="47"/>
      <c r="Z6" s="47"/>
      <c r="AA6" s="46"/>
      <c r="AC6" s="171"/>
    </row>
    <row r="7" spans="1:44" ht="20" x14ac:dyDescent="0.2">
      <c r="A7" s="169">
        <v>5</v>
      </c>
      <c r="B7" s="16" t="s">
        <v>16</v>
      </c>
      <c r="C7" s="92" t="s">
        <v>179</v>
      </c>
      <c r="D7" s="232"/>
      <c r="E7" s="232"/>
      <c r="F7" s="232"/>
      <c r="G7" s="232"/>
      <c r="H7" s="232">
        <f>2645-2696</f>
        <v>-51</v>
      </c>
      <c r="I7" s="232">
        <v>2800</v>
      </c>
      <c r="J7" s="250"/>
      <c r="K7" s="250"/>
      <c r="L7" s="250"/>
      <c r="M7" s="250"/>
      <c r="N7" s="250">
        <v>72</v>
      </c>
      <c r="O7" s="252">
        <v>70</v>
      </c>
      <c r="P7" s="257" t="s">
        <v>13</v>
      </c>
      <c r="Q7" s="257" t="s">
        <v>13</v>
      </c>
      <c r="R7" s="257" t="s">
        <v>13</v>
      </c>
      <c r="S7" s="257" t="s">
        <v>13</v>
      </c>
      <c r="T7" s="257">
        <v>80</v>
      </c>
      <c r="U7" s="258">
        <v>83</v>
      </c>
      <c r="V7" s="265">
        <v>2</v>
      </c>
      <c r="W7" s="204">
        <v>267</v>
      </c>
      <c r="X7" s="62">
        <v>35</v>
      </c>
      <c r="Y7" s="46"/>
      <c r="Z7" s="47"/>
      <c r="AA7" s="46"/>
      <c r="AC7" s="171"/>
    </row>
    <row r="8" spans="1:44" ht="20" x14ac:dyDescent="0.2">
      <c r="A8" s="169">
        <v>7</v>
      </c>
      <c r="B8" s="16" t="s">
        <v>167</v>
      </c>
      <c r="C8" s="92" t="s">
        <v>168</v>
      </c>
      <c r="D8" s="242">
        <v>7535</v>
      </c>
      <c r="E8" s="232">
        <v>4540</v>
      </c>
      <c r="F8" s="232">
        <f>25863-16178</f>
        <v>9685</v>
      </c>
      <c r="G8" s="232">
        <v>5996</v>
      </c>
      <c r="H8" s="232">
        <v>9197</v>
      </c>
      <c r="I8" s="232" t="s">
        <v>165</v>
      </c>
      <c r="J8" s="250">
        <v>25</v>
      </c>
      <c r="K8" s="250">
        <v>24</v>
      </c>
      <c r="L8" s="250">
        <v>28</v>
      </c>
      <c r="M8" s="250">
        <v>30</v>
      </c>
      <c r="N8" s="250">
        <v>29</v>
      </c>
      <c r="O8" s="251" t="s">
        <v>165</v>
      </c>
      <c r="P8" s="257"/>
      <c r="Q8" s="257">
        <v>77</v>
      </c>
      <c r="R8" s="257">
        <v>39</v>
      </c>
      <c r="S8" s="257">
        <v>100</v>
      </c>
      <c r="T8" s="263" t="s">
        <v>182</v>
      </c>
      <c r="U8" s="259" t="s">
        <v>182</v>
      </c>
      <c r="V8" s="265">
        <v>4</v>
      </c>
      <c r="W8" s="207">
        <v>583</v>
      </c>
      <c r="X8" s="62">
        <v>1250</v>
      </c>
      <c r="Y8" s="46"/>
      <c r="Z8" s="46"/>
      <c r="AA8" s="47"/>
      <c r="AC8" s="171"/>
    </row>
    <row r="9" spans="1:44" ht="20" x14ac:dyDescent="0.2">
      <c r="A9" s="169">
        <v>8</v>
      </c>
      <c r="B9" s="16" t="s">
        <v>19</v>
      </c>
      <c r="C9" s="92" t="s">
        <v>20</v>
      </c>
      <c r="D9" s="244">
        <f>-1209+5000</f>
        <v>3791</v>
      </c>
      <c r="E9" s="233">
        <f>-1984+5000</f>
        <v>3016</v>
      </c>
      <c r="F9" s="232">
        <v>12489</v>
      </c>
      <c r="G9" s="232">
        <v>11815</v>
      </c>
      <c r="H9" s="232">
        <f>28610-18836+3900</f>
        <v>13674</v>
      </c>
      <c r="I9" s="232">
        <v>5000</v>
      </c>
      <c r="J9" s="250">
        <v>241</v>
      </c>
      <c r="K9" s="250">
        <v>226</v>
      </c>
      <c r="L9" s="250">
        <v>259</v>
      </c>
      <c r="M9" s="250">
        <v>325</v>
      </c>
      <c r="N9" s="250">
        <v>325</v>
      </c>
      <c r="O9" s="251">
        <v>240</v>
      </c>
      <c r="P9" s="257">
        <v>82</v>
      </c>
      <c r="Q9" s="257">
        <v>71</v>
      </c>
      <c r="R9" s="257">
        <v>75</v>
      </c>
      <c r="S9" s="257">
        <v>81</v>
      </c>
      <c r="T9" s="257">
        <v>66</v>
      </c>
      <c r="U9" s="258">
        <v>85</v>
      </c>
      <c r="V9" s="265">
        <v>5</v>
      </c>
      <c r="W9" s="207">
        <v>374</v>
      </c>
      <c r="X9" s="62">
        <v>55</v>
      </c>
      <c r="Y9" s="46"/>
      <c r="Z9" s="46"/>
      <c r="AA9" s="46"/>
      <c r="AC9" s="171"/>
    </row>
    <row r="10" spans="1:44" ht="20" x14ac:dyDescent="0.2">
      <c r="A10" s="169">
        <v>9</v>
      </c>
      <c r="B10" s="16" t="s">
        <v>19</v>
      </c>
      <c r="C10" s="92" t="s">
        <v>21</v>
      </c>
      <c r="D10" s="232"/>
      <c r="E10" s="232">
        <v>19000</v>
      </c>
      <c r="F10" s="232"/>
      <c r="G10" s="232">
        <v>18000</v>
      </c>
      <c r="H10" s="232"/>
      <c r="I10" s="232" t="s">
        <v>165</v>
      </c>
      <c r="J10" s="250"/>
      <c r="K10" s="250">
        <v>90</v>
      </c>
      <c r="L10" s="250"/>
      <c r="M10" s="250">
        <v>76</v>
      </c>
      <c r="N10" s="250"/>
      <c r="O10" s="251" t="s">
        <v>165</v>
      </c>
      <c r="P10" s="257"/>
      <c r="Q10" s="257">
        <v>93</v>
      </c>
      <c r="R10" s="257" t="s">
        <v>13</v>
      </c>
      <c r="S10" s="257">
        <v>80</v>
      </c>
      <c r="T10" s="257"/>
      <c r="U10" s="259" t="s">
        <v>182</v>
      </c>
      <c r="V10" s="265">
        <v>5</v>
      </c>
      <c r="W10" s="207">
        <v>544</v>
      </c>
      <c r="X10" s="62">
        <v>1795</v>
      </c>
      <c r="Y10" s="46"/>
      <c r="Z10" s="46"/>
      <c r="AA10" s="46"/>
      <c r="AC10" s="171"/>
      <c r="AO10" s="1"/>
      <c r="AP10" s="1"/>
      <c r="AQ10" s="1"/>
      <c r="AR10" s="1"/>
    </row>
    <row r="11" spans="1:44" ht="20" x14ac:dyDescent="0.2">
      <c r="A11" s="169">
        <v>10</v>
      </c>
      <c r="B11" s="16" t="s">
        <v>22</v>
      </c>
      <c r="C11" s="92" t="s">
        <v>23</v>
      </c>
      <c r="D11" s="244">
        <f>9898+3500</f>
        <v>13398</v>
      </c>
      <c r="E11" s="233">
        <f>9145+3500</f>
        <v>12645</v>
      </c>
      <c r="F11" s="232">
        <f>22500-7900</f>
        <v>14600</v>
      </c>
      <c r="G11" s="232">
        <v>11400</v>
      </c>
      <c r="H11" s="232">
        <f>25354-12356</f>
        <v>12998</v>
      </c>
      <c r="I11" s="232">
        <v>8000</v>
      </c>
      <c r="J11" s="250">
        <v>134</v>
      </c>
      <c r="K11" s="250">
        <v>95</v>
      </c>
      <c r="L11" s="250">
        <v>81</v>
      </c>
      <c r="M11" s="250">
        <v>115</v>
      </c>
      <c r="N11" s="250">
        <v>132</v>
      </c>
      <c r="O11" s="251">
        <v>130</v>
      </c>
      <c r="P11" s="257">
        <v>100</v>
      </c>
      <c r="Q11" s="257">
        <v>80</v>
      </c>
      <c r="R11" s="257">
        <v>82</v>
      </c>
      <c r="S11" s="257">
        <v>83</v>
      </c>
      <c r="T11" s="257">
        <v>70</v>
      </c>
      <c r="U11" s="258">
        <v>80</v>
      </c>
      <c r="V11" s="265">
        <v>3</v>
      </c>
      <c r="W11" s="207">
        <v>223</v>
      </c>
      <c r="X11" s="62">
        <v>135</v>
      </c>
      <c r="Y11" s="47"/>
      <c r="Z11" s="49"/>
      <c r="AA11" s="49"/>
      <c r="AC11" s="171"/>
    </row>
    <row r="12" spans="1:44" ht="20" x14ac:dyDescent="0.2">
      <c r="A12" s="169">
        <v>12</v>
      </c>
      <c r="B12" s="16" t="s">
        <v>24</v>
      </c>
      <c r="C12" s="92" t="s">
        <v>25</v>
      </c>
      <c r="D12" s="242">
        <v>1365</v>
      </c>
      <c r="E12" s="232">
        <v>0</v>
      </c>
      <c r="F12" s="232">
        <v>9261</v>
      </c>
      <c r="G12" s="232">
        <v>11200</v>
      </c>
      <c r="H12" s="232">
        <f>31375-17998</f>
        <v>13377</v>
      </c>
      <c r="I12" s="232" t="s">
        <v>165</v>
      </c>
      <c r="J12" s="250">
        <v>400</v>
      </c>
      <c r="K12" s="250">
        <v>280</v>
      </c>
      <c r="L12" s="250">
        <v>1000</v>
      </c>
      <c r="M12" s="250">
        <v>500</v>
      </c>
      <c r="N12" s="250">
        <v>500</v>
      </c>
      <c r="O12" s="251" t="s">
        <v>165</v>
      </c>
      <c r="P12" s="257">
        <v>68</v>
      </c>
      <c r="Q12" s="257">
        <v>36</v>
      </c>
      <c r="R12" s="257">
        <v>43</v>
      </c>
      <c r="S12" s="257"/>
      <c r="T12" s="257">
        <v>68</v>
      </c>
      <c r="U12" s="259" t="s">
        <v>182</v>
      </c>
      <c r="V12" s="265">
        <v>4</v>
      </c>
      <c r="W12" s="207">
        <v>219</v>
      </c>
      <c r="X12" s="62">
        <v>350</v>
      </c>
      <c r="Y12" s="46"/>
      <c r="Z12" s="47"/>
      <c r="AA12" s="46"/>
      <c r="AC12" s="171"/>
    </row>
    <row r="13" spans="1:44" ht="20" x14ac:dyDescent="0.2">
      <c r="A13" s="169">
        <v>13</v>
      </c>
      <c r="B13" s="16" t="s">
        <v>26</v>
      </c>
      <c r="C13" s="92" t="s">
        <v>27</v>
      </c>
      <c r="D13" s="244">
        <f>-276+1500</f>
        <v>1224</v>
      </c>
      <c r="E13" s="233">
        <f>0+1500</f>
        <v>1500</v>
      </c>
      <c r="F13" s="232">
        <f>1950-3667</f>
        <v>-1717</v>
      </c>
      <c r="G13" s="232">
        <v>-1550</v>
      </c>
      <c r="H13" s="232">
        <f>3100-4540</f>
        <v>-1440</v>
      </c>
      <c r="I13" s="232">
        <v>0</v>
      </c>
      <c r="J13" s="250">
        <v>250</v>
      </c>
      <c r="K13" s="250"/>
      <c r="L13" s="250">
        <v>200</v>
      </c>
      <c r="M13" s="250">
        <v>225</v>
      </c>
      <c r="N13" s="250">
        <v>250</v>
      </c>
      <c r="O13" s="251" t="s">
        <v>166</v>
      </c>
      <c r="P13" s="257" t="s">
        <v>13</v>
      </c>
      <c r="Q13" s="257" t="s">
        <v>13</v>
      </c>
      <c r="R13" s="257" t="s">
        <v>13</v>
      </c>
      <c r="S13" s="257"/>
      <c r="T13" s="257" t="s">
        <v>13</v>
      </c>
      <c r="U13" s="258"/>
      <c r="V13" s="265">
        <v>3</v>
      </c>
      <c r="W13" s="207">
        <v>124</v>
      </c>
      <c r="X13" s="62">
        <v>0</v>
      </c>
      <c r="Y13" s="47"/>
      <c r="Z13" s="47"/>
      <c r="AA13" s="49"/>
      <c r="AC13" s="171"/>
    </row>
    <row r="14" spans="1:44" ht="20" x14ac:dyDescent="0.2">
      <c r="A14" s="169">
        <v>14</v>
      </c>
      <c r="B14" s="16" t="s">
        <v>26</v>
      </c>
      <c r="C14" s="92" t="s">
        <v>28</v>
      </c>
      <c r="D14" s="242">
        <v>-809</v>
      </c>
      <c r="E14" s="232">
        <v>-2603</v>
      </c>
      <c r="F14" s="232">
        <v>-1791</v>
      </c>
      <c r="G14" s="232">
        <v>-1500</v>
      </c>
      <c r="H14" s="232">
        <f>2400-2127</f>
        <v>273</v>
      </c>
      <c r="I14" s="232" t="s">
        <v>165</v>
      </c>
      <c r="J14" s="250">
        <v>140</v>
      </c>
      <c r="K14" s="250">
        <v>155</v>
      </c>
      <c r="L14" s="250">
        <v>160</v>
      </c>
      <c r="M14" s="250">
        <v>90</v>
      </c>
      <c r="N14" s="250">
        <v>80</v>
      </c>
      <c r="O14" s="251" t="s">
        <v>165</v>
      </c>
      <c r="P14" s="257" t="s">
        <v>13</v>
      </c>
      <c r="Q14" s="257" t="s">
        <v>13</v>
      </c>
      <c r="R14" s="257" t="s">
        <v>13</v>
      </c>
      <c r="S14" s="257"/>
      <c r="T14" s="257" t="s">
        <v>13</v>
      </c>
      <c r="U14" s="258"/>
      <c r="V14" s="265">
        <v>3</v>
      </c>
      <c r="W14" s="207">
        <v>108</v>
      </c>
      <c r="X14" s="62">
        <v>0</v>
      </c>
      <c r="Y14" s="46"/>
      <c r="Z14" s="47"/>
      <c r="AA14" s="47"/>
      <c r="AC14" s="171"/>
    </row>
    <row r="15" spans="1:44" ht="20" x14ac:dyDescent="0.2">
      <c r="A15" s="169">
        <v>15</v>
      </c>
      <c r="B15" s="16" t="s">
        <v>29</v>
      </c>
      <c r="C15" s="92" t="s">
        <v>169</v>
      </c>
      <c r="D15" s="242">
        <v>4700</v>
      </c>
      <c r="E15" s="232">
        <v>6000</v>
      </c>
      <c r="F15" s="232">
        <f>4300-517</f>
        <v>3783</v>
      </c>
      <c r="G15" s="232">
        <v>2675</v>
      </c>
      <c r="H15" s="232">
        <v>7345</v>
      </c>
      <c r="I15" s="232" t="s">
        <v>13</v>
      </c>
      <c r="J15" s="250" t="s">
        <v>32</v>
      </c>
      <c r="K15" s="250" t="s">
        <v>32</v>
      </c>
      <c r="L15" s="250" t="s">
        <v>33</v>
      </c>
      <c r="M15" s="250" t="s">
        <v>34</v>
      </c>
      <c r="N15" s="250" t="s">
        <v>35</v>
      </c>
      <c r="O15" s="251" t="s">
        <v>13</v>
      </c>
      <c r="P15" s="257" t="s">
        <v>13</v>
      </c>
      <c r="Q15" s="257" t="s">
        <v>13</v>
      </c>
      <c r="R15" s="257" t="s">
        <v>13</v>
      </c>
      <c r="S15" s="257"/>
      <c r="T15" s="257" t="s">
        <v>13</v>
      </c>
      <c r="U15" s="258"/>
      <c r="V15" s="265">
        <v>2</v>
      </c>
      <c r="W15" s="207">
        <v>202</v>
      </c>
      <c r="X15" s="62">
        <v>0</v>
      </c>
      <c r="Y15" s="46"/>
      <c r="Z15" s="49"/>
      <c r="AA15" s="47"/>
      <c r="AC15" s="171"/>
    </row>
    <row r="16" spans="1:44" ht="20" x14ac:dyDescent="0.2">
      <c r="A16" s="169">
        <v>16</v>
      </c>
      <c r="B16" s="16" t="s">
        <v>36</v>
      </c>
      <c r="C16" s="92" t="s">
        <v>37</v>
      </c>
      <c r="D16" s="232" t="s">
        <v>13</v>
      </c>
      <c r="E16" s="232" t="s">
        <v>13</v>
      </c>
      <c r="F16" s="232" t="s">
        <v>13</v>
      </c>
      <c r="G16" s="232">
        <v>3400</v>
      </c>
      <c r="H16" s="232">
        <f>7250-2750</f>
        <v>4500</v>
      </c>
      <c r="I16" s="232">
        <v>2400</v>
      </c>
      <c r="J16" s="250" t="s">
        <v>13</v>
      </c>
      <c r="K16" s="250" t="s">
        <v>13</v>
      </c>
      <c r="L16" s="250" t="s">
        <v>13</v>
      </c>
      <c r="M16" s="250" t="s">
        <v>38</v>
      </c>
      <c r="N16" s="250" t="s">
        <v>39</v>
      </c>
      <c r="O16" s="251" t="s">
        <v>39</v>
      </c>
      <c r="P16" s="257" t="s">
        <v>13</v>
      </c>
      <c r="Q16" s="257" t="s">
        <v>13</v>
      </c>
      <c r="R16" s="257" t="s">
        <v>13</v>
      </c>
      <c r="S16" s="264"/>
      <c r="T16" s="264"/>
      <c r="U16" s="258">
        <v>72</v>
      </c>
      <c r="V16" s="265">
        <v>4</v>
      </c>
      <c r="W16" s="207">
        <v>289</v>
      </c>
      <c r="X16" s="62">
        <v>0</v>
      </c>
      <c r="Y16" s="208"/>
      <c r="Z16" s="208"/>
      <c r="AA16" s="208"/>
      <c r="AC16" s="171"/>
    </row>
    <row r="17" spans="1:43" ht="20" x14ac:dyDescent="0.2">
      <c r="A17" s="169"/>
      <c r="B17" s="327" t="s">
        <v>181</v>
      </c>
      <c r="C17" s="206" t="s">
        <v>41</v>
      </c>
      <c r="D17" s="230"/>
      <c r="E17" s="231"/>
      <c r="F17" s="231">
        <f>30450-12500</f>
        <v>17950</v>
      </c>
      <c r="G17" s="231">
        <v>4000</v>
      </c>
      <c r="H17" s="231"/>
      <c r="I17" s="231"/>
      <c r="J17" s="209"/>
      <c r="K17" s="209"/>
      <c r="L17" s="209"/>
      <c r="M17" s="209"/>
      <c r="N17" s="209"/>
      <c r="O17" s="205"/>
      <c r="P17" s="209"/>
      <c r="Q17" s="209"/>
      <c r="R17" s="209"/>
      <c r="S17" s="209"/>
      <c r="T17" s="209"/>
      <c r="U17" s="205"/>
      <c r="V17" s="214">
        <v>3</v>
      </c>
      <c r="W17" s="212">
        <v>146</v>
      </c>
      <c r="X17" s="211">
        <v>100</v>
      </c>
      <c r="Y17" s="220"/>
      <c r="Z17" s="222"/>
      <c r="AA17" s="222"/>
      <c r="AC17" s="171"/>
      <c r="AO17" s="9"/>
      <c r="AP17" s="9"/>
      <c r="AQ17" s="9"/>
    </row>
    <row r="18" spans="1:43" ht="21" thickBot="1" x14ac:dyDescent="0.25">
      <c r="A18" s="169"/>
      <c r="B18" s="328"/>
      <c r="C18" s="206" t="s">
        <v>43</v>
      </c>
      <c r="D18" s="234">
        <v>-3745</v>
      </c>
      <c r="E18" s="235">
        <v>-6246</v>
      </c>
      <c r="F18" s="235"/>
      <c r="G18" s="235"/>
      <c r="H18" s="235"/>
      <c r="I18" s="235"/>
      <c r="J18" s="217">
        <v>145</v>
      </c>
      <c r="K18" s="217">
        <v>95</v>
      </c>
      <c r="L18" s="217" t="s">
        <v>13</v>
      </c>
      <c r="M18" s="217" t="s">
        <v>13</v>
      </c>
      <c r="N18" s="217"/>
      <c r="O18" s="218"/>
      <c r="P18" s="223">
        <v>65</v>
      </c>
      <c r="Q18" s="223">
        <v>65</v>
      </c>
      <c r="R18" s="217" t="s">
        <v>13</v>
      </c>
      <c r="S18" s="217" t="s">
        <v>13</v>
      </c>
      <c r="T18" s="217"/>
      <c r="U18" s="218"/>
      <c r="V18" s="214">
        <v>4</v>
      </c>
      <c r="W18" s="210"/>
      <c r="X18" s="211">
        <v>150</v>
      </c>
      <c r="Y18" s="221"/>
      <c r="Z18" s="222"/>
      <c r="AA18" s="221"/>
      <c r="AC18" s="171"/>
    </row>
    <row r="19" spans="1:43" ht="22" thickTop="1" thickBot="1" x14ac:dyDescent="0.25">
      <c r="A19" s="169"/>
      <c r="B19" s="215"/>
      <c r="C19" s="92"/>
      <c r="D19" s="236">
        <f t="shared" ref="D19:I19" si="0">SUM(D3:D18)</f>
        <v>48459</v>
      </c>
      <c r="E19" s="236">
        <f t="shared" si="0"/>
        <v>70212</v>
      </c>
      <c r="F19" s="236">
        <f t="shared" si="0"/>
        <v>85087</v>
      </c>
      <c r="G19" s="236">
        <f t="shared" si="0"/>
        <v>74803</v>
      </c>
      <c r="H19" s="236">
        <f t="shared" si="0"/>
        <v>76674</v>
      </c>
      <c r="I19" s="286">
        <f t="shared" si="0"/>
        <v>37407</v>
      </c>
      <c r="J19" s="216"/>
      <c r="K19" s="216"/>
      <c r="L19" s="216"/>
      <c r="M19" s="224"/>
      <c r="N19" s="224"/>
      <c r="O19" s="225"/>
      <c r="P19" s="226"/>
      <c r="Q19" s="226"/>
      <c r="R19" s="227"/>
      <c r="S19" s="226"/>
      <c r="T19" s="226"/>
      <c r="U19" s="228"/>
      <c r="V19" s="213"/>
      <c r="W19" s="204"/>
      <c r="X19" s="62"/>
      <c r="Y19" s="38"/>
      <c r="Z19" s="38"/>
      <c r="AA19" s="38"/>
      <c r="AC19" s="171"/>
    </row>
    <row r="20" spans="1:43" x14ac:dyDescent="0.2">
      <c r="AO20" s="9"/>
      <c r="AP20" s="9"/>
      <c r="AQ20" s="9"/>
    </row>
    <row r="21" spans="1:43" x14ac:dyDescent="0.2">
      <c r="AO21" s="9"/>
      <c r="AP21" s="9"/>
      <c r="AQ21" s="9"/>
    </row>
    <row r="22" spans="1:43" x14ac:dyDescent="0.2">
      <c r="AM22" s="14"/>
      <c r="AN22" s="9"/>
      <c r="AO22" s="9"/>
      <c r="AP22" s="9"/>
      <c r="AQ22" s="9"/>
    </row>
    <row r="23" spans="1:43" x14ac:dyDescent="0.2">
      <c r="AM23" s="14"/>
      <c r="AN23" s="9"/>
      <c r="AO23" s="9"/>
      <c r="AP23" s="9"/>
      <c r="AQ23" s="9"/>
    </row>
    <row r="24" spans="1:43" x14ac:dyDescent="0.2">
      <c r="AM24" s="14"/>
      <c r="AN24" s="9"/>
      <c r="AO24" s="9"/>
      <c r="AP24" s="9"/>
      <c r="AQ24" s="9"/>
    </row>
    <row r="25" spans="1:43" x14ac:dyDescent="0.2">
      <c r="AM25" s="14"/>
      <c r="AN25" s="9"/>
      <c r="AO25" s="9"/>
      <c r="AP25" s="9"/>
      <c r="AQ25" s="9"/>
    </row>
    <row r="26" spans="1:43" x14ac:dyDescent="0.2">
      <c r="AM26" s="14"/>
      <c r="AN26" s="9"/>
      <c r="AO26" s="9"/>
      <c r="AP26" s="9"/>
      <c r="AQ26" s="9"/>
    </row>
    <row r="27" spans="1:43" x14ac:dyDescent="0.2">
      <c r="AM27" s="14"/>
      <c r="AN27" s="9"/>
      <c r="AO27" s="9"/>
      <c r="AP27" s="9"/>
      <c r="AQ27" s="9"/>
    </row>
    <row r="28" spans="1:43" x14ac:dyDescent="0.2">
      <c r="AM28" s="14"/>
      <c r="AN28" s="9"/>
      <c r="AO28" s="9"/>
      <c r="AP28" s="9"/>
      <c r="AQ28" s="9"/>
    </row>
    <row r="29" spans="1:43" x14ac:dyDescent="0.2">
      <c r="AM29" s="14"/>
      <c r="AN29" s="9"/>
      <c r="AO29" s="9"/>
      <c r="AP29" s="9"/>
      <c r="AQ29" s="9"/>
    </row>
    <row r="30" spans="1:43" x14ac:dyDescent="0.2">
      <c r="H30" s="174">
        <f>1500+1125+1125+700+950+500+462+590+2420</f>
        <v>9372</v>
      </c>
      <c r="AM30" s="14"/>
      <c r="AN30" s="9"/>
      <c r="AO30" s="9"/>
      <c r="AP30" s="9"/>
      <c r="AQ30" s="9"/>
    </row>
    <row r="31" spans="1:43" x14ac:dyDescent="0.2">
      <c r="H31" s="174">
        <f>3700+2975+2425+74+1995+200+587+305+928+574</f>
        <v>13763</v>
      </c>
      <c r="AM31" s="14"/>
      <c r="AN31" s="9"/>
      <c r="AO31" s="9"/>
      <c r="AP31" s="9"/>
      <c r="AQ31" s="9"/>
    </row>
    <row r="32" spans="1:43" x14ac:dyDescent="0.2">
      <c r="H32" s="174">
        <f>H30-H31</f>
        <v>-4391</v>
      </c>
      <c r="AM32" s="14"/>
      <c r="AN32" s="9"/>
      <c r="AO32" s="9"/>
      <c r="AP32" s="9"/>
      <c r="AQ32" s="9"/>
    </row>
    <row r="33" spans="39:43" x14ac:dyDescent="0.2">
      <c r="AM33" s="14"/>
      <c r="AN33" s="9"/>
      <c r="AO33" s="9"/>
      <c r="AP33" s="9"/>
      <c r="AQ33" s="9"/>
    </row>
    <row r="34" spans="39:43" x14ac:dyDescent="0.2">
      <c r="AM34" s="14"/>
      <c r="AN34" s="9"/>
      <c r="AO34" s="9"/>
      <c r="AP34" s="9"/>
      <c r="AQ34" s="9"/>
    </row>
    <row r="35" spans="39:43" x14ac:dyDescent="0.2">
      <c r="AM35" s="14"/>
      <c r="AN35" s="9"/>
      <c r="AO35" s="9"/>
      <c r="AP35" s="9"/>
      <c r="AQ35" s="9"/>
    </row>
    <row r="36" spans="39:43" x14ac:dyDescent="0.2">
      <c r="AM36" s="14"/>
      <c r="AN36" s="9"/>
      <c r="AO36" s="9"/>
      <c r="AP36" s="9"/>
      <c r="AQ36" s="9"/>
    </row>
    <row r="37" spans="39:43" x14ac:dyDescent="0.2">
      <c r="AM37" s="14"/>
      <c r="AN37" s="9"/>
      <c r="AO37" s="9"/>
      <c r="AP37" s="9"/>
      <c r="AQ37" s="9"/>
    </row>
    <row r="38" spans="39:43" x14ac:dyDescent="0.2">
      <c r="AM38" s="14"/>
      <c r="AN38" s="9"/>
      <c r="AO38" s="4"/>
      <c r="AP38" s="4"/>
      <c r="AQ38" s="4"/>
    </row>
    <row r="39" spans="39:43" x14ac:dyDescent="0.2">
      <c r="AM39" s="14"/>
      <c r="AN39" s="9"/>
    </row>
    <row r="40" spans="39:43" x14ac:dyDescent="0.2">
      <c r="AM40" s="15"/>
      <c r="AN40" s="9"/>
    </row>
    <row r="41" spans="39:43" x14ac:dyDescent="0.2">
      <c r="AN41" s="9"/>
    </row>
    <row r="42" spans="39:43" x14ac:dyDescent="0.2">
      <c r="AN42" s="4"/>
    </row>
  </sheetData>
  <mergeCells count="7">
    <mergeCell ref="B17:B18"/>
    <mergeCell ref="D1:I1"/>
    <mergeCell ref="J1:O1"/>
    <mergeCell ref="P1:U1"/>
    <mergeCell ref="Y1:AA1"/>
    <mergeCell ref="V1:V2"/>
    <mergeCell ref="W1:W2"/>
  </mergeCells>
  <pageMargins left="0.7" right="0.7" top="0.75" bottom="0.75" header="0.3" footer="0.3"/>
  <pageSetup paperSize="3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opLeftCell="C1" zoomScale="70" zoomScaleNormal="70" workbookViewId="0">
      <selection activeCell="L2" sqref="L2"/>
    </sheetView>
  </sheetViews>
  <sheetFormatPr baseColWidth="10" defaultColWidth="8.83203125" defaultRowHeight="16" x14ac:dyDescent="0.2"/>
  <cols>
    <col min="1" max="1" width="3.83203125" customWidth="1"/>
    <col min="2" max="2" width="43.83203125" style="91" customWidth="1"/>
    <col min="3" max="3" width="9.5" customWidth="1"/>
    <col min="4" max="5" width="9.33203125" customWidth="1"/>
    <col min="6" max="6" width="7.5" style="6" customWidth="1"/>
    <col min="7" max="8" width="7" customWidth="1"/>
    <col min="9" max="11" width="8" style="17" customWidth="1"/>
    <col min="12" max="12" width="7.1640625" customWidth="1"/>
    <col min="13" max="13" width="8.33203125" style="5" customWidth="1"/>
    <col min="14" max="14" width="6.5" style="26" customWidth="1"/>
    <col min="18" max="18" width="4" style="13" customWidth="1"/>
    <col min="19" max="19" width="2.33203125" customWidth="1"/>
    <col min="20" max="20" width="3.83203125" style="17" customWidth="1"/>
    <col min="21" max="21" width="42.33203125" customWidth="1"/>
    <col min="22" max="23" width="9.1640625" style="17"/>
    <col min="24" max="24" width="5.6640625" style="17" customWidth="1"/>
    <col min="25" max="25" width="5.33203125" style="17" customWidth="1"/>
    <col min="29" max="29" width="4.1640625" style="13" customWidth="1"/>
  </cols>
  <sheetData>
    <row r="1" spans="1:29" s="4" customFormat="1" x14ac:dyDescent="0.2">
      <c r="B1" s="91"/>
      <c r="C1" s="345" t="s">
        <v>0</v>
      </c>
      <c r="D1" s="346"/>
      <c r="E1" s="346"/>
      <c r="F1" s="345" t="s">
        <v>1</v>
      </c>
      <c r="G1" s="346"/>
      <c r="H1" s="346"/>
      <c r="I1" s="345" t="s">
        <v>45</v>
      </c>
      <c r="J1" s="346"/>
      <c r="K1" s="346"/>
      <c r="L1" s="345"/>
      <c r="M1" s="346"/>
      <c r="N1" s="346"/>
      <c r="O1" s="40"/>
      <c r="P1" s="40"/>
      <c r="Q1" s="41"/>
      <c r="R1" s="15"/>
      <c r="T1" s="9"/>
      <c r="V1" s="9"/>
      <c r="W1" s="9"/>
      <c r="X1" s="9"/>
      <c r="Y1" s="9"/>
      <c r="AC1" s="15"/>
    </row>
    <row r="2" spans="1:29" s="1" customFormat="1" x14ac:dyDescent="0.2">
      <c r="A2" s="2"/>
      <c r="B2" s="21"/>
      <c r="C2" s="22">
        <v>2014</v>
      </c>
      <c r="D2" s="2">
        <v>2015</v>
      </c>
      <c r="E2" s="2">
        <v>2016</v>
      </c>
      <c r="F2" s="22">
        <v>2014</v>
      </c>
      <c r="G2" s="7">
        <v>2015</v>
      </c>
      <c r="H2" s="24">
        <v>2016</v>
      </c>
      <c r="I2" s="25">
        <v>2014</v>
      </c>
      <c r="J2" s="7">
        <v>2015</v>
      </c>
      <c r="K2" s="24">
        <v>2016</v>
      </c>
      <c r="L2" s="93" t="s">
        <v>2</v>
      </c>
      <c r="M2" s="18" t="s">
        <v>3</v>
      </c>
      <c r="N2" s="27" t="s">
        <v>4</v>
      </c>
      <c r="O2" s="2" t="s">
        <v>5</v>
      </c>
      <c r="P2" s="2" t="s">
        <v>6</v>
      </c>
      <c r="Q2" s="23" t="s">
        <v>7</v>
      </c>
      <c r="R2" s="12"/>
      <c r="S2" s="10"/>
    </row>
    <row r="3" spans="1:29" ht="20" x14ac:dyDescent="0.2">
      <c r="A3" s="3">
        <v>1</v>
      </c>
      <c r="B3" s="92" t="s">
        <v>15</v>
      </c>
      <c r="C3" s="54">
        <v>-400</v>
      </c>
      <c r="D3" s="55">
        <v>1146</v>
      </c>
      <c r="E3" s="82">
        <v>1145</v>
      </c>
      <c r="F3" s="56">
        <v>95</v>
      </c>
      <c r="G3" s="57">
        <v>134</v>
      </c>
      <c r="H3" s="58" t="s">
        <v>18</v>
      </c>
      <c r="I3" s="59">
        <v>78</v>
      </c>
      <c r="J3" s="60">
        <v>61</v>
      </c>
      <c r="K3" s="61" t="s">
        <v>18</v>
      </c>
      <c r="L3" s="94">
        <v>2.5</v>
      </c>
      <c r="M3" s="62">
        <v>28</v>
      </c>
      <c r="N3" s="63" t="s">
        <v>10</v>
      </c>
      <c r="O3" s="46"/>
      <c r="P3" s="49"/>
      <c r="Q3" s="50"/>
      <c r="S3" s="11"/>
    </row>
    <row r="4" spans="1:29" ht="20" x14ac:dyDescent="0.2">
      <c r="A4" s="3">
        <v>2</v>
      </c>
      <c r="B4" s="92" t="s">
        <v>28</v>
      </c>
      <c r="C4" s="54">
        <v>-33</v>
      </c>
      <c r="D4" s="55">
        <v>-809</v>
      </c>
      <c r="E4" s="82">
        <v>-2603</v>
      </c>
      <c r="F4" s="56">
        <v>123</v>
      </c>
      <c r="G4" s="57">
        <v>140</v>
      </c>
      <c r="H4" s="58">
        <v>155</v>
      </c>
      <c r="I4" s="56" t="s">
        <v>18</v>
      </c>
      <c r="J4" s="57" t="s">
        <v>18</v>
      </c>
      <c r="K4" s="58" t="s">
        <v>18</v>
      </c>
      <c r="L4" s="94">
        <v>2.5</v>
      </c>
      <c r="M4" s="62">
        <v>20</v>
      </c>
      <c r="N4" s="63" t="s">
        <v>10</v>
      </c>
      <c r="O4" s="46"/>
      <c r="P4" s="49"/>
      <c r="Q4" s="50"/>
      <c r="S4" s="11"/>
    </row>
    <row r="5" spans="1:29" ht="20" x14ac:dyDescent="0.2">
      <c r="A5" s="3">
        <v>3</v>
      </c>
      <c r="B5" s="92" t="s">
        <v>40</v>
      </c>
      <c r="C5" s="54">
        <v>-1293</v>
      </c>
      <c r="D5" s="55">
        <v>3572</v>
      </c>
      <c r="E5" s="82">
        <v>1000</v>
      </c>
      <c r="F5" s="56">
        <v>132</v>
      </c>
      <c r="G5" s="57">
        <v>154</v>
      </c>
      <c r="H5" s="58">
        <v>170</v>
      </c>
      <c r="I5" s="64">
        <v>63</v>
      </c>
      <c r="J5" s="57">
        <v>30</v>
      </c>
      <c r="K5" s="58">
        <v>18</v>
      </c>
      <c r="L5" s="94">
        <v>3</v>
      </c>
      <c r="M5" s="62">
        <v>28</v>
      </c>
      <c r="N5" s="63" t="s">
        <v>10</v>
      </c>
      <c r="O5" s="47"/>
      <c r="P5" s="46"/>
      <c r="Q5" s="50"/>
      <c r="S5" s="11"/>
    </row>
    <row r="6" spans="1:29" ht="20" x14ac:dyDescent="0.2">
      <c r="A6" s="3">
        <v>4</v>
      </c>
      <c r="B6" s="92" t="s">
        <v>25</v>
      </c>
      <c r="C6" s="54">
        <v>-1770</v>
      </c>
      <c r="D6" s="55">
        <v>1365</v>
      </c>
      <c r="E6" s="82">
        <v>0</v>
      </c>
      <c r="F6" s="56">
        <v>302</v>
      </c>
      <c r="G6" s="57">
        <v>400</v>
      </c>
      <c r="H6" s="58">
        <v>280</v>
      </c>
      <c r="I6" s="56">
        <v>55</v>
      </c>
      <c r="J6" s="65">
        <v>68</v>
      </c>
      <c r="K6" s="58">
        <v>36</v>
      </c>
      <c r="L6" s="59">
        <v>4</v>
      </c>
      <c r="M6" s="62">
        <v>300</v>
      </c>
      <c r="N6" s="63" t="s">
        <v>10</v>
      </c>
      <c r="O6" s="46"/>
      <c r="P6" s="49"/>
      <c r="Q6" s="51"/>
      <c r="S6" s="11"/>
    </row>
    <row r="7" spans="1:29" ht="20" x14ac:dyDescent="0.2">
      <c r="A7" s="3">
        <v>5</v>
      </c>
      <c r="B7" s="92" t="s">
        <v>46</v>
      </c>
      <c r="C7" s="54">
        <v>-361</v>
      </c>
      <c r="D7" s="55">
        <v>-1209</v>
      </c>
      <c r="E7" s="82">
        <v>-1984</v>
      </c>
      <c r="F7" s="56">
        <v>182</v>
      </c>
      <c r="G7" s="57">
        <v>241</v>
      </c>
      <c r="H7" s="58">
        <v>226</v>
      </c>
      <c r="I7" s="64">
        <v>74</v>
      </c>
      <c r="J7" s="65">
        <v>82</v>
      </c>
      <c r="K7" s="67">
        <v>71</v>
      </c>
      <c r="L7" s="59">
        <v>5</v>
      </c>
      <c r="M7" s="62">
        <v>45</v>
      </c>
      <c r="N7" s="63" t="s">
        <v>10</v>
      </c>
      <c r="O7" s="47"/>
      <c r="P7" s="46"/>
      <c r="Q7" s="51"/>
      <c r="S7" s="11"/>
    </row>
    <row r="8" spans="1:29" ht="20" x14ac:dyDescent="0.2">
      <c r="A8" s="3">
        <v>6</v>
      </c>
      <c r="B8" s="92" t="s">
        <v>47</v>
      </c>
      <c r="C8" s="54">
        <v>10694</v>
      </c>
      <c r="D8" s="55">
        <v>9898</v>
      </c>
      <c r="E8" s="82">
        <v>9145</v>
      </c>
      <c r="F8" s="56">
        <v>145</v>
      </c>
      <c r="G8" s="57">
        <v>134</v>
      </c>
      <c r="H8" s="58">
        <v>95</v>
      </c>
      <c r="I8" s="64">
        <v>86</v>
      </c>
      <c r="J8" s="65">
        <v>100</v>
      </c>
      <c r="K8" s="67">
        <v>80</v>
      </c>
      <c r="L8" s="94">
        <v>3</v>
      </c>
      <c r="M8" s="62">
        <v>135</v>
      </c>
      <c r="N8" s="63" t="s">
        <v>14</v>
      </c>
      <c r="O8" s="47"/>
      <c r="P8" s="49"/>
      <c r="Q8" s="48"/>
      <c r="S8" s="11"/>
    </row>
    <row r="9" spans="1:29" ht="20" x14ac:dyDescent="0.2">
      <c r="A9" s="3">
        <v>7</v>
      </c>
      <c r="B9" s="92" t="s">
        <v>12</v>
      </c>
      <c r="C9" s="54">
        <v>6250</v>
      </c>
      <c r="D9" s="55">
        <v>5713</v>
      </c>
      <c r="E9" s="82">
        <v>8715</v>
      </c>
      <c r="F9" s="56">
        <v>166</v>
      </c>
      <c r="G9" s="57">
        <v>175</v>
      </c>
      <c r="H9" s="58">
        <v>182</v>
      </c>
      <c r="I9" s="64">
        <v>89</v>
      </c>
      <c r="J9" s="65">
        <v>97</v>
      </c>
      <c r="K9" s="67">
        <v>67</v>
      </c>
      <c r="L9" s="59">
        <v>4</v>
      </c>
      <c r="M9" s="62">
        <v>75</v>
      </c>
      <c r="N9" s="63" t="s">
        <v>14</v>
      </c>
      <c r="O9" s="47"/>
      <c r="P9" s="49"/>
      <c r="Q9" s="48"/>
      <c r="S9" s="11"/>
    </row>
    <row r="10" spans="1:29" ht="20" x14ac:dyDescent="0.2">
      <c r="A10" s="3">
        <v>8</v>
      </c>
      <c r="B10" s="92" t="s">
        <v>9</v>
      </c>
      <c r="C10" s="54">
        <v>-404</v>
      </c>
      <c r="D10" s="55">
        <v>5656</v>
      </c>
      <c r="E10" s="82">
        <v>12500</v>
      </c>
      <c r="F10" s="56">
        <v>347</v>
      </c>
      <c r="G10" s="57">
        <v>355</v>
      </c>
      <c r="H10" s="58">
        <v>309</v>
      </c>
      <c r="I10" s="56">
        <v>59</v>
      </c>
      <c r="J10" s="57">
        <v>45.5</v>
      </c>
      <c r="K10" s="58">
        <v>58.5</v>
      </c>
      <c r="L10" s="59">
        <v>5</v>
      </c>
      <c r="M10" s="62">
        <v>45</v>
      </c>
      <c r="N10" s="63" t="s">
        <v>10</v>
      </c>
      <c r="O10" s="46"/>
      <c r="P10" s="46"/>
      <c r="Q10" s="51"/>
      <c r="S10" s="11"/>
    </row>
    <row r="11" spans="1:29" ht="20" x14ac:dyDescent="0.2">
      <c r="A11" s="3">
        <v>9</v>
      </c>
      <c r="B11" s="92" t="s">
        <v>42</v>
      </c>
      <c r="C11" s="54">
        <v>4450</v>
      </c>
      <c r="D11" s="55">
        <v>827</v>
      </c>
      <c r="E11" s="82">
        <v>490</v>
      </c>
      <c r="F11" s="56">
        <v>143</v>
      </c>
      <c r="G11" s="57">
        <v>181</v>
      </c>
      <c r="H11" s="58">
        <v>167</v>
      </c>
      <c r="I11" s="56">
        <v>38</v>
      </c>
      <c r="J11" s="57">
        <v>36</v>
      </c>
      <c r="K11" s="58">
        <v>56</v>
      </c>
      <c r="L11" s="94">
        <v>3</v>
      </c>
      <c r="M11" s="62">
        <v>28</v>
      </c>
      <c r="N11" s="63" t="s">
        <v>10</v>
      </c>
      <c r="O11" s="47"/>
      <c r="P11" s="46"/>
      <c r="Q11" s="50"/>
      <c r="S11" s="11"/>
    </row>
    <row r="12" spans="1:29" ht="20" x14ac:dyDescent="0.2">
      <c r="A12" s="3">
        <v>10</v>
      </c>
      <c r="B12" s="92" t="s">
        <v>27</v>
      </c>
      <c r="C12" s="54">
        <v>2843</v>
      </c>
      <c r="D12" s="55">
        <v>-276</v>
      </c>
      <c r="E12" s="164">
        <v>0</v>
      </c>
      <c r="F12" s="56">
        <v>150</v>
      </c>
      <c r="G12" s="57">
        <v>250</v>
      </c>
      <c r="H12" s="58" t="s">
        <v>48</v>
      </c>
      <c r="I12" s="56" t="s">
        <v>18</v>
      </c>
      <c r="J12" s="57" t="s">
        <v>18</v>
      </c>
      <c r="K12" s="58" t="s">
        <v>18</v>
      </c>
      <c r="L12" s="59">
        <v>4</v>
      </c>
      <c r="M12" s="62">
        <v>0</v>
      </c>
      <c r="N12" s="63" t="s">
        <v>10</v>
      </c>
      <c r="O12" s="47"/>
      <c r="P12" s="49"/>
      <c r="Q12" s="48"/>
      <c r="S12" s="11"/>
    </row>
    <row r="13" spans="1:29" ht="20" x14ac:dyDescent="0.2">
      <c r="A13" s="3">
        <v>11</v>
      </c>
      <c r="B13" s="92" t="s">
        <v>49</v>
      </c>
      <c r="C13" s="54">
        <v>-3200</v>
      </c>
      <c r="D13" s="55">
        <v>-700</v>
      </c>
      <c r="E13" s="82">
        <v>-1700</v>
      </c>
      <c r="F13" s="56">
        <v>28</v>
      </c>
      <c r="G13" s="57">
        <v>34</v>
      </c>
      <c r="H13" s="58">
        <v>39</v>
      </c>
      <c r="I13" s="56" t="s">
        <v>18</v>
      </c>
      <c r="J13" s="57" t="s">
        <v>18</v>
      </c>
      <c r="K13" s="58" t="s">
        <v>18</v>
      </c>
      <c r="L13" s="94">
        <v>2</v>
      </c>
      <c r="M13" s="62">
        <v>0</v>
      </c>
      <c r="N13" s="63" t="s">
        <v>10</v>
      </c>
      <c r="O13" s="46"/>
      <c r="P13" s="47"/>
      <c r="Q13" s="51"/>
      <c r="S13" s="11"/>
    </row>
    <row r="14" spans="1:29" ht="20" x14ac:dyDescent="0.2">
      <c r="A14" s="3">
        <v>12</v>
      </c>
      <c r="B14" s="92" t="s">
        <v>50</v>
      </c>
      <c r="C14" s="54">
        <v>6100</v>
      </c>
      <c r="D14" s="55">
        <v>4700</v>
      </c>
      <c r="E14" s="82">
        <v>6000</v>
      </c>
      <c r="F14" s="56" t="s">
        <v>31</v>
      </c>
      <c r="G14" s="57" t="s">
        <v>32</v>
      </c>
      <c r="H14" s="58" t="s">
        <v>32</v>
      </c>
      <c r="I14" s="56" t="s">
        <v>18</v>
      </c>
      <c r="J14" s="57" t="s">
        <v>18</v>
      </c>
      <c r="K14" s="58" t="s">
        <v>18</v>
      </c>
      <c r="L14" s="94">
        <v>2</v>
      </c>
      <c r="M14" s="62">
        <v>0</v>
      </c>
      <c r="N14" s="63" t="s">
        <v>10</v>
      </c>
      <c r="O14" s="46"/>
      <c r="P14" s="49"/>
      <c r="Q14" s="50"/>
      <c r="S14" s="11"/>
    </row>
    <row r="15" spans="1:29" ht="20" x14ac:dyDescent="0.2">
      <c r="A15" s="3">
        <v>13</v>
      </c>
      <c r="B15" s="92" t="s">
        <v>17</v>
      </c>
      <c r="C15" s="68" t="s">
        <v>18</v>
      </c>
      <c r="D15" s="55">
        <v>4985</v>
      </c>
      <c r="E15" s="82">
        <v>6500</v>
      </c>
      <c r="F15" s="56" t="s">
        <v>18</v>
      </c>
      <c r="G15" s="57">
        <v>178</v>
      </c>
      <c r="H15" s="58">
        <v>245</v>
      </c>
      <c r="I15" s="56" t="s">
        <v>18</v>
      </c>
      <c r="J15" s="57">
        <v>37</v>
      </c>
      <c r="K15" s="58">
        <v>58</v>
      </c>
      <c r="L15" s="59">
        <v>5</v>
      </c>
      <c r="M15" s="62">
        <v>55</v>
      </c>
      <c r="N15" s="63" t="s">
        <v>14</v>
      </c>
      <c r="O15" s="47"/>
      <c r="P15" s="47"/>
      <c r="Q15" s="51"/>
      <c r="S15" s="11"/>
    </row>
    <row r="16" spans="1:29" ht="20" x14ac:dyDescent="0.2">
      <c r="A16" s="3">
        <v>14</v>
      </c>
      <c r="B16" s="92" t="s">
        <v>43</v>
      </c>
      <c r="C16" s="54">
        <v>-13589</v>
      </c>
      <c r="D16" s="55">
        <v>-3745</v>
      </c>
      <c r="E16" s="82">
        <v>-6246</v>
      </c>
      <c r="F16" s="56">
        <v>150</v>
      </c>
      <c r="G16" s="57">
        <v>145</v>
      </c>
      <c r="H16" s="58">
        <v>95</v>
      </c>
      <c r="I16" s="56">
        <v>45</v>
      </c>
      <c r="J16" s="65">
        <v>65</v>
      </c>
      <c r="K16" s="67">
        <v>65</v>
      </c>
      <c r="L16" s="59">
        <v>4</v>
      </c>
      <c r="M16" s="62">
        <v>150</v>
      </c>
      <c r="N16" s="63" t="s">
        <v>14</v>
      </c>
      <c r="O16" s="46"/>
      <c r="P16" s="49"/>
      <c r="Q16" s="51"/>
      <c r="S16" s="11"/>
    </row>
    <row r="17" spans="1:34" ht="20" x14ac:dyDescent="0.2">
      <c r="A17" s="3"/>
      <c r="B17" s="92"/>
      <c r="C17" s="54"/>
      <c r="D17" s="55"/>
      <c r="E17" s="55"/>
      <c r="F17" s="56"/>
      <c r="G17" s="57"/>
      <c r="H17" s="58"/>
      <c r="I17" s="56"/>
      <c r="J17" s="57"/>
      <c r="K17" s="58"/>
      <c r="L17" s="94"/>
      <c r="M17" s="62"/>
      <c r="N17" s="63"/>
      <c r="O17" s="38"/>
      <c r="P17" s="38"/>
      <c r="Q17" s="42"/>
      <c r="S17" s="11"/>
    </row>
    <row r="18" spans="1:34" ht="20" x14ac:dyDescent="0.2">
      <c r="A18" s="3">
        <v>15</v>
      </c>
      <c r="B18" s="92" t="s">
        <v>51</v>
      </c>
      <c r="C18" s="54"/>
      <c r="D18" s="55"/>
      <c r="E18" s="82">
        <v>110</v>
      </c>
      <c r="F18" s="56" t="s">
        <v>18</v>
      </c>
      <c r="G18" s="57">
        <v>25</v>
      </c>
      <c r="H18" s="58">
        <v>32</v>
      </c>
      <c r="I18" s="56"/>
      <c r="J18" s="57"/>
      <c r="K18" s="58"/>
      <c r="L18" s="94">
        <v>2</v>
      </c>
      <c r="M18" s="62">
        <v>50</v>
      </c>
      <c r="N18" s="63" t="s">
        <v>10</v>
      </c>
      <c r="O18" s="46"/>
      <c r="P18" s="49"/>
      <c r="Q18" s="50"/>
      <c r="S18" s="11"/>
    </row>
    <row r="19" spans="1:34" ht="20" x14ac:dyDescent="0.2">
      <c r="A19" s="3">
        <v>16</v>
      </c>
      <c r="B19" s="92" t="s">
        <v>52</v>
      </c>
      <c r="C19" s="54">
        <v>0</v>
      </c>
      <c r="D19" s="55">
        <v>0</v>
      </c>
      <c r="E19" s="82">
        <v>0</v>
      </c>
      <c r="F19" s="56">
        <v>12</v>
      </c>
      <c r="G19" s="57">
        <v>15</v>
      </c>
      <c r="H19" s="58">
        <v>15</v>
      </c>
      <c r="I19" s="56"/>
      <c r="J19" s="57"/>
      <c r="K19" s="58"/>
      <c r="L19" s="94">
        <v>1</v>
      </c>
      <c r="M19" s="62">
        <v>0</v>
      </c>
      <c r="N19" s="63" t="s">
        <v>10</v>
      </c>
      <c r="O19" s="46"/>
      <c r="P19" s="46"/>
      <c r="Q19" s="50"/>
      <c r="S19" s="11"/>
    </row>
    <row r="20" spans="1:34" ht="20" x14ac:dyDescent="0.2">
      <c r="A20" s="3">
        <v>17</v>
      </c>
      <c r="B20" s="92" t="s">
        <v>53</v>
      </c>
      <c r="C20" s="54">
        <v>0</v>
      </c>
      <c r="D20" s="55">
        <v>0</v>
      </c>
      <c r="E20" s="82">
        <v>0</v>
      </c>
      <c r="F20" s="56">
        <v>8</v>
      </c>
      <c r="G20" s="57">
        <v>8</v>
      </c>
      <c r="H20" s="58">
        <v>8</v>
      </c>
      <c r="I20" s="56"/>
      <c r="J20" s="57"/>
      <c r="K20" s="58"/>
      <c r="L20" s="94">
        <v>1</v>
      </c>
      <c r="M20" s="62">
        <v>0</v>
      </c>
      <c r="N20" s="63" t="s">
        <v>10</v>
      </c>
      <c r="O20" s="46"/>
      <c r="P20" s="46"/>
      <c r="Q20" s="51"/>
      <c r="S20" s="11"/>
    </row>
    <row r="21" spans="1:34" ht="20" x14ac:dyDescent="0.2">
      <c r="A21" s="3">
        <v>18</v>
      </c>
      <c r="B21" s="92" t="s">
        <v>54</v>
      </c>
      <c r="C21" s="54">
        <v>0</v>
      </c>
      <c r="D21" s="55">
        <v>0</v>
      </c>
      <c r="E21" s="82">
        <v>0</v>
      </c>
      <c r="F21" s="56">
        <v>8</v>
      </c>
      <c r="G21" s="57">
        <v>35</v>
      </c>
      <c r="H21" s="58">
        <v>50</v>
      </c>
      <c r="I21" s="56"/>
      <c r="J21" s="57"/>
      <c r="K21" s="58"/>
      <c r="L21" s="94">
        <v>1</v>
      </c>
      <c r="M21" s="62">
        <v>0</v>
      </c>
      <c r="N21" s="63" t="s">
        <v>10</v>
      </c>
      <c r="O21" s="46"/>
      <c r="P21" s="46"/>
      <c r="Q21" s="48"/>
      <c r="S21" s="11"/>
    </row>
    <row r="22" spans="1:34" ht="21" x14ac:dyDescent="0.25">
      <c r="C22" s="68"/>
      <c r="D22" s="165">
        <f>SUM(D3:D21)</f>
        <v>31123</v>
      </c>
      <c r="E22" s="165">
        <f>SUM(E3:E21)</f>
        <v>33072</v>
      </c>
      <c r="F22" s="69"/>
      <c r="G22" s="70"/>
      <c r="H22" s="71"/>
      <c r="I22" s="69"/>
      <c r="J22" s="70"/>
      <c r="K22" s="71"/>
      <c r="L22" s="95"/>
      <c r="M22" s="72"/>
      <c r="N22" s="73"/>
      <c r="O22" s="39"/>
      <c r="P22" s="39"/>
      <c r="Q22" s="43"/>
      <c r="S22" s="11"/>
    </row>
    <row r="23" spans="1:34" ht="13.5" customHeight="1" x14ac:dyDescent="0.25">
      <c r="C23" s="54"/>
      <c r="D23" s="55"/>
      <c r="E23" s="82"/>
      <c r="F23" s="69"/>
      <c r="G23" s="70"/>
      <c r="H23" s="71"/>
      <c r="I23" s="69"/>
      <c r="J23" s="70"/>
      <c r="K23" s="71"/>
      <c r="L23" s="95"/>
      <c r="M23" s="72"/>
      <c r="N23" s="73"/>
      <c r="O23" s="39"/>
      <c r="P23" s="39"/>
      <c r="Q23" s="43"/>
      <c r="S23" s="11"/>
    </row>
    <row r="24" spans="1:34" ht="20" x14ac:dyDescent="0.2">
      <c r="A24" s="3">
        <v>25</v>
      </c>
      <c r="B24" s="92" t="s">
        <v>55</v>
      </c>
      <c r="C24" s="54">
        <v>30000</v>
      </c>
      <c r="D24" s="55">
        <v>30000</v>
      </c>
      <c r="E24" s="82">
        <v>30000</v>
      </c>
      <c r="F24" s="56"/>
      <c r="G24" s="57"/>
      <c r="H24" s="58"/>
      <c r="I24" s="56"/>
      <c r="J24" s="57"/>
      <c r="K24" s="58"/>
      <c r="L24" s="94">
        <v>3</v>
      </c>
      <c r="M24" s="62">
        <v>0</v>
      </c>
      <c r="N24" s="63" t="s">
        <v>14</v>
      </c>
      <c r="O24" s="49"/>
      <c r="P24" s="49"/>
      <c r="Q24" s="48"/>
      <c r="S24" s="11"/>
    </row>
    <row r="25" spans="1:34" ht="20" x14ac:dyDescent="0.2">
      <c r="C25" s="54"/>
      <c r="D25" s="55"/>
      <c r="E25" s="166">
        <f>E22+E24</f>
        <v>63072</v>
      </c>
      <c r="F25" s="76"/>
      <c r="G25" s="77"/>
      <c r="H25" s="78"/>
      <c r="I25" s="69"/>
      <c r="J25" s="70"/>
      <c r="K25" s="71"/>
      <c r="L25" s="96"/>
      <c r="M25" s="79"/>
      <c r="N25" s="80"/>
      <c r="O25" s="44"/>
      <c r="P25" s="44"/>
      <c r="Q25" s="45"/>
      <c r="S25" s="11"/>
    </row>
    <row r="26" spans="1:34" ht="10.5" customHeight="1" x14ac:dyDescent="0.2">
      <c r="C26" s="74"/>
      <c r="D26" s="75"/>
      <c r="E26" s="81"/>
      <c r="F26" s="76"/>
      <c r="G26" s="77"/>
      <c r="H26" s="78"/>
      <c r="I26" s="69"/>
      <c r="J26" s="70"/>
      <c r="K26" s="71"/>
      <c r="L26" s="96"/>
      <c r="M26" s="79"/>
      <c r="N26" s="80"/>
      <c r="O26" s="44"/>
      <c r="P26" s="44"/>
      <c r="Q26" s="45"/>
      <c r="S26" s="11"/>
      <c r="AE26" s="1"/>
      <c r="AF26" s="1"/>
      <c r="AG26" s="1"/>
      <c r="AH26" s="1"/>
    </row>
    <row r="27" spans="1:34" ht="20" x14ac:dyDescent="0.2">
      <c r="A27" s="3">
        <v>26</v>
      </c>
      <c r="B27" s="92" t="s">
        <v>21</v>
      </c>
      <c r="C27" s="54">
        <v>13724</v>
      </c>
      <c r="D27" s="82" t="s">
        <v>18</v>
      </c>
      <c r="E27" s="66">
        <v>19000</v>
      </c>
      <c r="F27" s="56">
        <v>75</v>
      </c>
      <c r="G27" s="57">
        <v>0</v>
      </c>
      <c r="H27" s="58">
        <v>90</v>
      </c>
      <c r="I27" s="56"/>
      <c r="J27" s="57"/>
      <c r="K27" s="58"/>
      <c r="L27" s="94">
        <v>5</v>
      </c>
      <c r="M27" s="62">
        <v>1765</v>
      </c>
      <c r="N27" s="63" t="s">
        <v>14</v>
      </c>
      <c r="O27" s="46"/>
      <c r="P27" s="46"/>
      <c r="Q27" s="51"/>
      <c r="AE27" s="1"/>
      <c r="AF27" s="1"/>
      <c r="AG27" s="1"/>
      <c r="AH27" s="1"/>
    </row>
    <row r="28" spans="1:34" ht="21" thickBot="1" x14ac:dyDescent="0.25">
      <c r="A28" s="3">
        <v>27</v>
      </c>
      <c r="B28" s="92" t="s">
        <v>56</v>
      </c>
      <c r="C28" s="83">
        <v>1326</v>
      </c>
      <c r="D28" s="84">
        <v>7535</v>
      </c>
      <c r="E28" s="85">
        <v>4540</v>
      </c>
      <c r="F28" s="86">
        <v>18</v>
      </c>
      <c r="G28" s="87">
        <v>25</v>
      </c>
      <c r="H28" s="88">
        <v>24</v>
      </c>
      <c r="I28" s="86"/>
      <c r="J28" s="87"/>
      <c r="K28" s="88">
        <v>77</v>
      </c>
      <c r="L28" s="97">
        <v>3</v>
      </c>
      <c r="M28" s="89">
        <v>955</v>
      </c>
      <c r="N28" s="90" t="s">
        <v>14</v>
      </c>
      <c r="O28" s="52"/>
      <c r="P28" s="52"/>
      <c r="Q28" s="53"/>
      <c r="AE28" s="9"/>
      <c r="AF28" s="9"/>
      <c r="AG28" s="9"/>
    </row>
    <row r="29" spans="1:34" ht="20.25" customHeight="1" thickBot="1" x14ac:dyDescent="0.25">
      <c r="C29" s="167"/>
      <c r="D29" s="168"/>
      <c r="E29" s="98">
        <f>E28+E27+E25</f>
        <v>86612</v>
      </c>
      <c r="AE29" s="9"/>
      <c r="AF29" s="9"/>
      <c r="AG29" s="9"/>
    </row>
    <row r="30" spans="1:34" x14ac:dyDescent="0.2">
      <c r="AE30" s="9"/>
      <c r="AF30" s="9"/>
      <c r="AG30" s="9"/>
    </row>
    <row r="31" spans="1:34" x14ac:dyDescent="0.2">
      <c r="AE31" s="9"/>
      <c r="AF31" s="9"/>
      <c r="AG31" s="9"/>
    </row>
    <row r="32" spans="1:34" x14ac:dyDescent="0.2">
      <c r="AE32" s="9"/>
      <c r="AF32" s="9"/>
      <c r="AG32" s="9"/>
    </row>
    <row r="33" spans="29:33" x14ac:dyDescent="0.2">
      <c r="AC33" s="14"/>
      <c r="AD33" s="9"/>
      <c r="AE33" s="9"/>
      <c r="AF33" s="9"/>
      <c r="AG33" s="9"/>
    </row>
    <row r="34" spans="29:33" x14ac:dyDescent="0.2">
      <c r="AC34" s="14"/>
      <c r="AD34" s="9"/>
      <c r="AE34" s="9"/>
      <c r="AF34" s="9"/>
      <c r="AG34" s="9"/>
    </row>
    <row r="35" spans="29:33" x14ac:dyDescent="0.2">
      <c r="AC35" s="14"/>
      <c r="AD35" s="9"/>
      <c r="AE35" s="9"/>
      <c r="AF35" s="9"/>
      <c r="AG35" s="9"/>
    </row>
    <row r="36" spans="29:33" x14ac:dyDescent="0.2">
      <c r="AC36" s="14"/>
      <c r="AD36" s="9"/>
      <c r="AE36" s="9"/>
      <c r="AF36" s="9"/>
      <c r="AG36" s="9"/>
    </row>
    <row r="37" spans="29:33" x14ac:dyDescent="0.2">
      <c r="AC37" s="14"/>
      <c r="AD37" s="9"/>
      <c r="AE37" s="9"/>
      <c r="AF37" s="9"/>
      <c r="AG37" s="9"/>
    </row>
    <row r="38" spans="29:33" x14ac:dyDescent="0.2">
      <c r="AC38" s="14"/>
      <c r="AD38" s="9"/>
      <c r="AE38" s="9"/>
      <c r="AF38" s="9"/>
      <c r="AG38" s="9"/>
    </row>
    <row r="39" spans="29:33" x14ac:dyDescent="0.2">
      <c r="AC39" s="14"/>
      <c r="AD39" s="9"/>
      <c r="AE39" s="9"/>
      <c r="AF39" s="9"/>
      <c r="AG39" s="9"/>
    </row>
    <row r="40" spans="29:33" x14ac:dyDescent="0.2">
      <c r="AC40" s="14"/>
      <c r="AD40" s="9"/>
      <c r="AE40" s="9"/>
      <c r="AF40" s="9"/>
      <c r="AG40" s="9"/>
    </row>
    <row r="41" spans="29:33" x14ac:dyDescent="0.2">
      <c r="AC41" s="14"/>
      <c r="AD41" s="9"/>
      <c r="AE41" s="9"/>
      <c r="AF41" s="9"/>
      <c r="AG41" s="9"/>
    </row>
    <row r="42" spans="29:33" x14ac:dyDescent="0.2">
      <c r="AC42" s="14"/>
      <c r="AD42" s="9"/>
      <c r="AE42" s="9"/>
      <c r="AF42" s="9"/>
      <c r="AG42" s="9"/>
    </row>
    <row r="43" spans="29:33" x14ac:dyDescent="0.2">
      <c r="AC43" s="14"/>
      <c r="AD43" s="9"/>
      <c r="AE43" s="9"/>
      <c r="AF43" s="9"/>
      <c r="AG43" s="9"/>
    </row>
    <row r="44" spans="29:33" x14ac:dyDescent="0.2">
      <c r="AC44" s="14"/>
      <c r="AD44" s="9"/>
      <c r="AE44" s="9"/>
      <c r="AF44" s="9"/>
      <c r="AG44" s="9"/>
    </row>
    <row r="45" spans="29:33" x14ac:dyDescent="0.2">
      <c r="AC45" s="14"/>
      <c r="AD45" s="9"/>
      <c r="AE45" s="9"/>
      <c r="AF45" s="9"/>
      <c r="AG45" s="9"/>
    </row>
    <row r="46" spans="29:33" x14ac:dyDescent="0.2">
      <c r="AC46" s="14"/>
      <c r="AD46" s="9"/>
      <c r="AE46" s="9"/>
      <c r="AF46" s="9"/>
      <c r="AG46" s="9"/>
    </row>
    <row r="47" spans="29:33" x14ac:dyDescent="0.2">
      <c r="AC47" s="14"/>
      <c r="AD47" s="9"/>
      <c r="AE47" s="9"/>
      <c r="AF47" s="9"/>
      <c r="AG47" s="9"/>
    </row>
    <row r="48" spans="29:33" x14ac:dyDescent="0.2">
      <c r="AC48" s="14"/>
      <c r="AD48" s="9"/>
      <c r="AE48" s="9"/>
      <c r="AF48" s="9"/>
      <c r="AG48" s="9"/>
    </row>
    <row r="49" spans="29:33" x14ac:dyDescent="0.2">
      <c r="AC49" s="14"/>
      <c r="AD49" s="9"/>
      <c r="AE49" s="4"/>
      <c r="AF49" s="4"/>
      <c r="AG49" s="4"/>
    </row>
    <row r="50" spans="29:33" x14ac:dyDescent="0.2">
      <c r="AC50" s="14"/>
      <c r="AD50" s="9"/>
    </row>
    <row r="51" spans="29:33" x14ac:dyDescent="0.2">
      <c r="AC51" s="15"/>
      <c r="AD51" s="9"/>
    </row>
    <row r="52" spans="29:33" x14ac:dyDescent="0.2">
      <c r="AD52" s="9"/>
    </row>
    <row r="53" spans="29:33" x14ac:dyDescent="0.2">
      <c r="AD53" s="4"/>
    </row>
  </sheetData>
  <mergeCells count="4">
    <mergeCell ref="C1:E1"/>
    <mergeCell ref="F1:H1"/>
    <mergeCell ref="I1:K1"/>
    <mergeCell ref="L1:N1"/>
  </mergeCells>
  <pageMargins left="0.7" right="0.7" top="0.75" bottom="0.75" header="0.3" footer="0.3"/>
  <pageSetup paperSize="3" scale="1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6"/>
  <sheetViews>
    <sheetView topLeftCell="A4" zoomScale="70" zoomScaleNormal="70" workbookViewId="0">
      <selection activeCell="C25" sqref="C25"/>
    </sheetView>
  </sheetViews>
  <sheetFormatPr baseColWidth="10" defaultColWidth="8.83203125" defaultRowHeight="15" x14ac:dyDescent="0.2"/>
  <cols>
    <col min="2" max="2" width="49" style="35" customWidth="1"/>
    <col min="4" max="4" width="11.5" customWidth="1"/>
    <col min="10" max="10" width="9.6640625" customWidth="1"/>
    <col min="11" max="11" width="7.6640625" style="5" customWidth="1"/>
    <col min="12" max="13" width="6" style="5" hidden="1" customWidth="1"/>
    <col min="14" max="14" width="6.33203125" style="5" hidden="1" customWidth="1"/>
    <col min="15" max="15" width="6.1640625" style="5" hidden="1" customWidth="1"/>
    <col min="16" max="16" width="6.33203125" style="5" hidden="1" customWidth="1"/>
    <col min="17" max="17" width="7" style="5" hidden="1" customWidth="1"/>
    <col min="18" max="18" width="7.33203125" style="5" hidden="1" customWidth="1"/>
  </cols>
  <sheetData>
    <row r="1" spans="1:23" ht="48.75" customHeight="1" thickBot="1" x14ac:dyDescent="0.4">
      <c r="A1" s="106" t="s">
        <v>57</v>
      </c>
    </row>
    <row r="2" spans="1:23" ht="16" x14ac:dyDescent="0.2">
      <c r="A2" s="2"/>
      <c r="B2" s="31"/>
      <c r="C2" s="137" t="s">
        <v>58</v>
      </c>
      <c r="D2" s="113" t="s">
        <v>59</v>
      </c>
      <c r="E2" s="113" t="s">
        <v>60</v>
      </c>
      <c r="F2" s="138" t="s">
        <v>61</v>
      </c>
      <c r="G2" s="144" t="s">
        <v>62</v>
      </c>
      <c r="H2" s="145" t="s">
        <v>63</v>
      </c>
      <c r="I2" s="146" t="s">
        <v>64</v>
      </c>
      <c r="J2" s="139" t="s">
        <v>65</v>
      </c>
      <c r="K2" s="114" t="s">
        <v>66</v>
      </c>
      <c r="L2" s="107">
        <v>695</v>
      </c>
      <c r="M2" s="107">
        <v>1250</v>
      </c>
      <c r="N2" s="107">
        <v>3900</v>
      </c>
      <c r="O2" s="107">
        <v>5900</v>
      </c>
      <c r="P2" s="107">
        <v>8500</v>
      </c>
      <c r="Q2" s="107">
        <v>15000</v>
      </c>
      <c r="R2" s="107">
        <v>30000</v>
      </c>
      <c r="S2" s="2" t="s">
        <v>5</v>
      </c>
      <c r="T2" s="2" t="s">
        <v>6</v>
      </c>
      <c r="U2" s="2" t="s">
        <v>7</v>
      </c>
      <c r="V2" s="12"/>
      <c r="W2" s="1"/>
    </row>
    <row r="3" spans="1:23" ht="17" x14ac:dyDescent="0.2">
      <c r="A3" s="2"/>
      <c r="B3" s="141" t="s">
        <v>67</v>
      </c>
      <c r="C3" s="153"/>
      <c r="D3" s="154"/>
      <c r="E3" s="154"/>
      <c r="F3" s="154"/>
      <c r="G3" s="154"/>
      <c r="H3" s="154"/>
      <c r="I3" s="154"/>
      <c r="J3" s="155"/>
      <c r="K3" s="156"/>
      <c r="L3" s="142">
        <v>250</v>
      </c>
      <c r="M3" s="142">
        <v>350</v>
      </c>
      <c r="N3" s="115">
        <v>750</v>
      </c>
      <c r="O3" s="115"/>
      <c r="P3" s="115"/>
      <c r="Q3" s="115"/>
      <c r="R3" s="115"/>
      <c r="S3" s="112"/>
      <c r="T3" s="112"/>
      <c r="U3" s="112"/>
      <c r="V3" s="12"/>
      <c r="W3" s="1"/>
    </row>
    <row r="4" spans="1:23" ht="17" x14ac:dyDescent="0.2">
      <c r="A4" s="2"/>
      <c r="B4" s="141" t="s">
        <v>68</v>
      </c>
      <c r="C4" s="157"/>
      <c r="D4" s="158"/>
      <c r="E4" s="158"/>
      <c r="F4" s="158"/>
      <c r="G4" s="158"/>
      <c r="H4" s="158"/>
      <c r="I4" s="158"/>
      <c r="J4" s="159"/>
      <c r="K4" s="160"/>
      <c r="L4" s="163"/>
      <c r="M4" s="143">
        <v>6</v>
      </c>
      <c r="N4" s="140">
        <v>8</v>
      </c>
      <c r="O4" s="140">
        <v>12</v>
      </c>
      <c r="P4" s="140">
        <v>20</v>
      </c>
      <c r="Q4" s="140">
        <v>30</v>
      </c>
      <c r="R4" s="140">
        <v>50</v>
      </c>
      <c r="S4" s="112"/>
      <c r="T4" s="112"/>
      <c r="U4" s="112"/>
      <c r="V4" s="12"/>
      <c r="W4" s="1"/>
    </row>
    <row r="5" spans="1:23" ht="17.25" customHeight="1" x14ac:dyDescent="0.2">
      <c r="A5" s="36">
        <v>1</v>
      </c>
      <c r="B5" s="30" t="s">
        <v>69</v>
      </c>
      <c r="C5" s="147">
        <v>15000</v>
      </c>
      <c r="D5" s="147">
        <f>+F5-E5</f>
        <v>17275</v>
      </c>
      <c r="E5" s="147">
        <v>12000</v>
      </c>
      <c r="F5" s="148">
        <f>SUM(G5:I5)</f>
        <v>29275</v>
      </c>
      <c r="G5" s="149">
        <v>11500</v>
      </c>
      <c r="H5" s="147">
        <f>K5*105</f>
        <v>5775</v>
      </c>
      <c r="I5" s="150">
        <v>12000</v>
      </c>
      <c r="J5" s="151">
        <v>400</v>
      </c>
      <c r="K5" s="152">
        <v>55</v>
      </c>
      <c r="L5" s="152"/>
      <c r="M5" s="108"/>
      <c r="N5" s="108"/>
      <c r="O5" s="108"/>
      <c r="P5" s="108"/>
      <c r="Q5" s="108"/>
      <c r="R5" s="108"/>
      <c r="S5" s="99"/>
      <c r="T5" s="99"/>
      <c r="U5" s="99"/>
      <c r="V5" s="19"/>
    </row>
    <row r="6" spans="1:23" ht="30.75" customHeight="1" x14ac:dyDescent="0.2">
      <c r="A6" s="36">
        <v>2</v>
      </c>
      <c r="B6" s="30" t="s">
        <v>70</v>
      </c>
      <c r="C6" s="124">
        <v>12500</v>
      </c>
      <c r="D6" s="124">
        <f t="shared" ref="D6:D14" si="0">+F6-E6</f>
        <v>9800</v>
      </c>
      <c r="E6" s="124">
        <v>18000</v>
      </c>
      <c r="F6" s="132">
        <f t="shared" ref="F6:F23" si="1">SUM(G6:I6)</f>
        <v>27800</v>
      </c>
      <c r="G6" s="125">
        <v>10000</v>
      </c>
      <c r="H6" s="124">
        <f>K6*40</f>
        <v>7800</v>
      </c>
      <c r="I6" s="126">
        <v>10000</v>
      </c>
      <c r="J6" s="117">
        <v>250</v>
      </c>
      <c r="K6" s="103">
        <v>195</v>
      </c>
      <c r="L6" s="103"/>
      <c r="M6" s="108"/>
      <c r="N6" s="108"/>
      <c r="O6" s="108">
        <v>1</v>
      </c>
      <c r="P6" s="108">
        <v>2</v>
      </c>
      <c r="Q6" s="108">
        <v>2</v>
      </c>
      <c r="R6" s="108">
        <v>4</v>
      </c>
      <c r="S6" s="99"/>
      <c r="T6" s="99"/>
      <c r="U6" s="99"/>
      <c r="V6" s="19"/>
    </row>
    <row r="7" spans="1:23" ht="30.75" customHeight="1" x14ac:dyDescent="0.2">
      <c r="A7" s="36"/>
      <c r="B7" s="30" t="s">
        <v>71</v>
      </c>
      <c r="C7" s="124"/>
      <c r="D7" s="124"/>
      <c r="E7" s="124"/>
      <c r="F7" s="132"/>
      <c r="G7" s="125"/>
      <c r="H7" s="124">
        <f>60*K7</f>
        <v>2100</v>
      </c>
      <c r="I7" s="126"/>
      <c r="J7" s="117"/>
      <c r="K7" s="103">
        <v>35</v>
      </c>
      <c r="L7" s="103"/>
      <c r="M7" s="108"/>
      <c r="N7" s="108"/>
      <c r="O7" s="108"/>
      <c r="P7" s="108"/>
      <c r="Q7" s="108"/>
      <c r="R7" s="108"/>
      <c r="S7" s="99"/>
      <c r="T7" s="99"/>
      <c r="U7" s="99"/>
      <c r="V7" s="111"/>
    </row>
    <row r="8" spans="1:23" ht="16" x14ac:dyDescent="0.2">
      <c r="A8" s="16">
        <v>3</v>
      </c>
      <c r="B8" s="34" t="s">
        <v>72</v>
      </c>
      <c r="C8" s="121">
        <v>10000</v>
      </c>
      <c r="D8" s="124">
        <f t="shared" si="0"/>
        <v>9125</v>
      </c>
      <c r="E8" s="121">
        <v>20000</v>
      </c>
      <c r="F8" s="132">
        <f t="shared" si="1"/>
        <v>29125</v>
      </c>
      <c r="G8" s="122">
        <v>11000</v>
      </c>
      <c r="H8" s="121">
        <f>K8*75</f>
        <v>4125</v>
      </c>
      <c r="I8" s="123">
        <v>14000</v>
      </c>
      <c r="J8" s="118">
        <v>200</v>
      </c>
      <c r="K8" s="20">
        <v>55</v>
      </c>
      <c r="L8" s="20"/>
      <c r="M8" s="109"/>
      <c r="N8" s="109"/>
      <c r="O8" s="109"/>
      <c r="P8" s="109"/>
      <c r="Q8" s="109"/>
      <c r="R8" s="109"/>
      <c r="S8" s="101"/>
      <c r="T8" s="101"/>
      <c r="U8" s="100"/>
      <c r="V8" s="13"/>
    </row>
    <row r="9" spans="1:23" ht="16" x14ac:dyDescent="0.2">
      <c r="A9" s="16">
        <v>4</v>
      </c>
      <c r="B9" s="32" t="s">
        <v>73</v>
      </c>
      <c r="C9" s="121">
        <v>10000</v>
      </c>
      <c r="D9" s="124">
        <f t="shared" si="0"/>
        <v>11500</v>
      </c>
      <c r="E9" s="121">
        <v>12000</v>
      </c>
      <c r="F9" s="132">
        <f t="shared" si="1"/>
        <v>23500</v>
      </c>
      <c r="G9" s="122">
        <v>11000</v>
      </c>
      <c r="H9" s="121">
        <f>K9*25</f>
        <v>7500</v>
      </c>
      <c r="I9" s="123">
        <v>5000</v>
      </c>
      <c r="J9" s="118">
        <v>500</v>
      </c>
      <c r="K9" s="20">
        <v>300</v>
      </c>
      <c r="L9" s="20"/>
      <c r="M9" s="109"/>
      <c r="N9" s="109">
        <v>1</v>
      </c>
      <c r="O9" s="109">
        <v>1</v>
      </c>
      <c r="P9" s="109">
        <v>1</v>
      </c>
      <c r="Q9" s="109">
        <v>1</v>
      </c>
      <c r="R9" s="109">
        <v>1</v>
      </c>
      <c r="S9" s="100"/>
      <c r="T9" s="101"/>
      <c r="U9" s="100"/>
      <c r="V9" s="13"/>
    </row>
    <row r="10" spans="1:23" ht="16" x14ac:dyDescent="0.2">
      <c r="A10" s="16">
        <v>5</v>
      </c>
      <c r="B10" s="33" t="s">
        <v>74</v>
      </c>
      <c r="C10" s="121">
        <v>20000</v>
      </c>
      <c r="D10" s="124">
        <f t="shared" si="0"/>
        <v>21500</v>
      </c>
      <c r="E10" s="121">
        <v>9500</v>
      </c>
      <c r="F10" s="132">
        <f t="shared" si="1"/>
        <v>31000</v>
      </c>
      <c r="G10" s="122">
        <v>11000</v>
      </c>
      <c r="H10" s="121">
        <v>0</v>
      </c>
      <c r="I10" s="123">
        <v>20000</v>
      </c>
      <c r="J10" s="118">
        <v>110</v>
      </c>
      <c r="K10" s="20">
        <v>135</v>
      </c>
      <c r="L10" s="20"/>
      <c r="M10" s="109"/>
      <c r="N10" s="109"/>
      <c r="O10" s="109"/>
      <c r="P10" s="109"/>
      <c r="Q10" s="109"/>
      <c r="R10" s="109"/>
      <c r="S10" s="100"/>
      <c r="T10" s="102"/>
      <c r="U10" s="100"/>
      <c r="V10" s="13"/>
    </row>
    <row r="11" spans="1:23" ht="16" x14ac:dyDescent="0.2">
      <c r="A11" s="16"/>
      <c r="B11" s="33" t="s">
        <v>75</v>
      </c>
      <c r="C11" s="121"/>
      <c r="D11" s="124"/>
      <c r="E11" s="121"/>
      <c r="F11" s="132"/>
      <c r="G11" s="122"/>
      <c r="H11" s="121">
        <f>30*K11</f>
        <v>750</v>
      </c>
      <c r="I11" s="123"/>
      <c r="J11" s="118"/>
      <c r="K11" s="20">
        <v>25</v>
      </c>
      <c r="L11" s="20"/>
      <c r="M11" s="109"/>
      <c r="N11" s="109"/>
      <c r="O11" s="109">
        <v>2</v>
      </c>
      <c r="P11" s="109">
        <v>4</v>
      </c>
      <c r="Q11" s="109">
        <v>6</v>
      </c>
      <c r="R11" s="109">
        <v>8</v>
      </c>
      <c r="S11" s="100"/>
      <c r="T11" s="102"/>
      <c r="U11" s="100"/>
      <c r="V11" s="13"/>
    </row>
    <row r="12" spans="1:23" ht="16" x14ac:dyDescent="0.2">
      <c r="A12" s="16">
        <v>6</v>
      </c>
      <c r="B12" s="32" t="s">
        <v>76</v>
      </c>
      <c r="C12" s="121">
        <v>10000</v>
      </c>
      <c r="D12" s="124">
        <f t="shared" si="0"/>
        <v>12000</v>
      </c>
      <c r="E12" s="121">
        <v>6000</v>
      </c>
      <c r="F12" s="132">
        <f t="shared" si="1"/>
        <v>18000</v>
      </c>
      <c r="G12" s="122">
        <v>8000</v>
      </c>
      <c r="H12" s="121">
        <v>0</v>
      </c>
      <c r="I12" s="123">
        <v>10000</v>
      </c>
      <c r="J12" s="118">
        <v>200</v>
      </c>
      <c r="K12" s="20">
        <v>150</v>
      </c>
      <c r="L12" s="20"/>
      <c r="M12" s="109"/>
      <c r="N12" s="109"/>
      <c r="O12" s="109"/>
      <c r="P12" s="109"/>
      <c r="Q12" s="109"/>
      <c r="R12" s="109"/>
      <c r="S12" s="100"/>
      <c r="T12" s="102"/>
      <c r="U12" s="102"/>
      <c r="V12" s="13"/>
    </row>
    <row r="13" spans="1:23" ht="16" x14ac:dyDescent="0.2">
      <c r="A13" s="16"/>
      <c r="B13" s="32" t="s">
        <v>77</v>
      </c>
      <c r="C13" s="121"/>
      <c r="D13" s="124">
        <f t="shared" si="0"/>
        <v>1250</v>
      </c>
      <c r="E13" s="121">
        <v>0</v>
      </c>
      <c r="F13" s="132">
        <f t="shared" si="1"/>
        <v>1250</v>
      </c>
      <c r="G13" s="122">
        <v>0</v>
      </c>
      <c r="H13" s="121">
        <f>K13*50</f>
        <v>1250</v>
      </c>
      <c r="I13" s="123">
        <v>0</v>
      </c>
      <c r="J13" s="118"/>
      <c r="K13" s="20">
        <v>25</v>
      </c>
      <c r="L13" s="20"/>
      <c r="M13" s="109"/>
      <c r="N13" s="109"/>
      <c r="O13" s="109"/>
      <c r="P13" s="109"/>
      <c r="Q13" s="109"/>
      <c r="R13" s="109"/>
      <c r="S13" s="100"/>
      <c r="T13" s="102"/>
      <c r="U13" s="102"/>
      <c r="V13" s="13"/>
    </row>
    <row r="14" spans="1:23" ht="17.25" customHeight="1" x14ac:dyDescent="0.2">
      <c r="A14" s="16">
        <v>7</v>
      </c>
      <c r="B14" s="32" t="s">
        <v>78</v>
      </c>
      <c r="C14" s="121">
        <v>5000</v>
      </c>
      <c r="D14" s="124">
        <f t="shared" si="0"/>
        <v>4280</v>
      </c>
      <c r="E14" s="121">
        <v>9000</v>
      </c>
      <c r="F14" s="132">
        <f t="shared" si="1"/>
        <v>13280</v>
      </c>
      <c r="G14" s="122">
        <v>6000</v>
      </c>
      <c r="H14" s="121">
        <f>K14*60</f>
        <v>2280</v>
      </c>
      <c r="I14" s="123">
        <v>5000</v>
      </c>
      <c r="J14" s="118">
        <v>200</v>
      </c>
      <c r="K14" s="20">
        <v>38</v>
      </c>
      <c r="L14" s="20"/>
      <c r="M14" s="109"/>
      <c r="N14" s="109"/>
      <c r="O14" s="109"/>
      <c r="P14" s="109"/>
      <c r="Q14" s="109"/>
      <c r="R14" s="109"/>
      <c r="S14" s="100"/>
      <c r="T14" s="102"/>
      <c r="U14" s="102"/>
      <c r="V14" s="13"/>
    </row>
    <row r="15" spans="1:23" ht="15.75" customHeight="1" x14ac:dyDescent="0.2">
      <c r="A15" s="16"/>
      <c r="B15" s="32"/>
      <c r="C15" s="121"/>
      <c r="D15" s="124"/>
      <c r="E15" s="121"/>
      <c r="F15" s="132"/>
      <c r="G15" s="122"/>
      <c r="H15" s="121"/>
      <c r="I15" s="123"/>
      <c r="J15" s="118"/>
      <c r="K15" s="20"/>
      <c r="L15" s="20"/>
      <c r="M15" s="109"/>
      <c r="N15" s="109"/>
      <c r="O15" s="109"/>
      <c r="P15" s="109"/>
      <c r="Q15" s="109"/>
      <c r="R15" s="109"/>
      <c r="S15" s="16"/>
      <c r="T15" s="16"/>
      <c r="U15" s="16"/>
      <c r="V15" s="13"/>
    </row>
    <row r="16" spans="1:23" ht="32" x14ac:dyDescent="0.2">
      <c r="A16" s="16">
        <v>8</v>
      </c>
      <c r="B16" s="34" t="s">
        <v>79</v>
      </c>
      <c r="C16" s="121">
        <v>1000</v>
      </c>
      <c r="D16" s="124">
        <f t="shared" ref="D16:D23" si="2">+F16-E16</f>
        <v>-600</v>
      </c>
      <c r="E16" s="121">
        <v>3000</v>
      </c>
      <c r="F16" s="132">
        <f t="shared" si="1"/>
        <v>2400</v>
      </c>
      <c r="G16" s="122">
        <v>0</v>
      </c>
      <c r="H16" s="121">
        <v>0</v>
      </c>
      <c r="I16" s="123">
        <v>2400</v>
      </c>
      <c r="J16" s="118">
        <v>35</v>
      </c>
      <c r="K16" s="20">
        <v>0</v>
      </c>
      <c r="L16" s="20"/>
      <c r="M16" s="109">
        <v>0</v>
      </c>
      <c r="N16" s="109">
        <v>0</v>
      </c>
      <c r="O16" s="109">
        <v>1</v>
      </c>
      <c r="P16" s="109">
        <v>1</v>
      </c>
      <c r="Q16" s="109">
        <v>1</v>
      </c>
      <c r="R16" s="109">
        <v>1</v>
      </c>
      <c r="S16" s="100"/>
      <c r="T16" s="101"/>
      <c r="U16" s="100"/>
      <c r="V16" s="13"/>
    </row>
    <row r="17" spans="1:22" ht="16" x14ac:dyDescent="0.2">
      <c r="A17" s="16">
        <v>9</v>
      </c>
      <c r="B17" s="34" t="s">
        <v>80</v>
      </c>
      <c r="C17" s="121">
        <v>4000</v>
      </c>
      <c r="D17" s="124">
        <f t="shared" si="2"/>
        <v>4200</v>
      </c>
      <c r="E17" s="121">
        <v>0</v>
      </c>
      <c r="F17" s="132">
        <f t="shared" si="1"/>
        <v>4200</v>
      </c>
      <c r="G17" s="122">
        <v>0</v>
      </c>
      <c r="H17" s="121">
        <v>0</v>
      </c>
      <c r="I17" s="123">
        <f>6*K17</f>
        <v>4200</v>
      </c>
      <c r="J17" s="118">
        <v>75</v>
      </c>
      <c r="K17" s="20">
        <v>700</v>
      </c>
      <c r="L17" s="20"/>
      <c r="M17" s="109"/>
      <c r="N17" s="109"/>
      <c r="O17" s="109"/>
      <c r="P17" s="109"/>
      <c r="Q17" s="109"/>
      <c r="R17" s="109"/>
      <c r="S17" s="100"/>
      <c r="T17" s="102"/>
      <c r="U17" s="101"/>
      <c r="V17" s="13"/>
    </row>
    <row r="18" spans="1:22" ht="12" customHeight="1" x14ac:dyDescent="0.2">
      <c r="A18" s="16"/>
      <c r="B18" s="34"/>
      <c r="C18" s="121"/>
      <c r="D18" s="124"/>
      <c r="E18" s="121"/>
      <c r="F18" s="132"/>
      <c r="G18" s="122"/>
      <c r="H18" s="121"/>
      <c r="I18" s="123"/>
      <c r="J18" s="118"/>
      <c r="K18" s="20"/>
      <c r="L18" s="20"/>
      <c r="M18" s="109"/>
      <c r="N18" s="109"/>
      <c r="O18" s="109"/>
      <c r="P18" s="109"/>
      <c r="Q18" s="109"/>
      <c r="R18" s="109"/>
      <c r="S18" s="16"/>
      <c r="T18" s="16"/>
      <c r="U18" s="16"/>
      <c r="V18" s="13"/>
    </row>
    <row r="19" spans="1:22" ht="16" x14ac:dyDescent="0.2">
      <c r="A19" s="16">
        <v>10</v>
      </c>
      <c r="B19" s="34" t="s">
        <v>81</v>
      </c>
      <c r="C19" s="121">
        <v>0</v>
      </c>
      <c r="D19" s="124">
        <f t="shared" si="2"/>
        <v>0</v>
      </c>
      <c r="E19" s="121">
        <v>0</v>
      </c>
      <c r="F19" s="132">
        <f t="shared" si="1"/>
        <v>0</v>
      </c>
      <c r="G19" s="122">
        <v>0</v>
      </c>
      <c r="H19" s="121">
        <v>0</v>
      </c>
      <c r="I19" s="123">
        <v>0</v>
      </c>
      <c r="J19" s="118">
        <v>25</v>
      </c>
      <c r="K19" s="20">
        <v>0</v>
      </c>
      <c r="L19" s="20"/>
      <c r="M19" s="109"/>
      <c r="N19" s="109"/>
      <c r="O19" s="109"/>
      <c r="P19" s="109"/>
      <c r="Q19" s="109"/>
      <c r="R19" s="109"/>
      <c r="S19" s="100"/>
      <c r="T19" s="100"/>
      <c r="U19" s="100"/>
      <c r="V19" s="13"/>
    </row>
    <row r="20" spans="1:22" ht="16" x14ac:dyDescent="0.2">
      <c r="A20" s="16">
        <v>11</v>
      </c>
      <c r="B20" s="34" t="s">
        <v>82</v>
      </c>
      <c r="C20" s="121">
        <v>5000</v>
      </c>
      <c r="D20" s="124">
        <f t="shared" si="2"/>
        <v>1200</v>
      </c>
      <c r="E20" s="121">
        <v>0</v>
      </c>
      <c r="F20" s="132">
        <f t="shared" si="1"/>
        <v>1200</v>
      </c>
      <c r="G20" s="122">
        <v>0</v>
      </c>
      <c r="H20" s="121">
        <v>0</v>
      </c>
      <c r="I20" s="123">
        <v>1200</v>
      </c>
      <c r="J20" s="118" t="s">
        <v>83</v>
      </c>
      <c r="K20" s="20">
        <v>0</v>
      </c>
      <c r="L20" s="20"/>
      <c r="M20" s="109"/>
      <c r="N20" s="109"/>
      <c r="O20" s="109"/>
      <c r="P20" s="109"/>
      <c r="Q20" s="109"/>
      <c r="R20" s="109"/>
      <c r="S20" s="100"/>
      <c r="T20" s="102"/>
      <c r="U20" s="101"/>
      <c r="V20" s="13"/>
    </row>
    <row r="21" spans="1:22" ht="16" x14ac:dyDescent="0.2">
      <c r="A21" s="16">
        <v>12</v>
      </c>
      <c r="B21" s="34" t="s">
        <v>84</v>
      </c>
      <c r="C21" s="121">
        <v>0</v>
      </c>
      <c r="D21" s="124">
        <f t="shared" si="2"/>
        <v>1200</v>
      </c>
      <c r="E21" s="121">
        <v>0</v>
      </c>
      <c r="F21" s="132">
        <f t="shared" si="1"/>
        <v>1200</v>
      </c>
      <c r="G21" s="122">
        <v>0</v>
      </c>
      <c r="H21" s="121">
        <v>0</v>
      </c>
      <c r="I21" s="123">
        <v>1200</v>
      </c>
      <c r="J21" s="118">
        <v>15</v>
      </c>
      <c r="K21" s="20">
        <v>0</v>
      </c>
      <c r="L21" s="20"/>
      <c r="M21" s="109"/>
      <c r="N21" s="109"/>
      <c r="O21" s="109"/>
      <c r="P21" s="109"/>
      <c r="Q21" s="109"/>
      <c r="R21" s="109"/>
      <c r="S21" s="100"/>
      <c r="T21" s="100"/>
      <c r="U21" s="101"/>
      <c r="V21" s="13"/>
    </row>
    <row r="22" spans="1:22" ht="16" x14ac:dyDescent="0.2">
      <c r="A22" s="16">
        <v>13</v>
      </c>
      <c r="B22" s="34" t="s">
        <v>85</v>
      </c>
      <c r="C22" s="121">
        <v>0</v>
      </c>
      <c r="D22" s="124">
        <f t="shared" si="2"/>
        <v>0</v>
      </c>
      <c r="E22" s="121">
        <v>0</v>
      </c>
      <c r="F22" s="132">
        <f t="shared" si="1"/>
        <v>0</v>
      </c>
      <c r="G22" s="122">
        <v>0</v>
      </c>
      <c r="H22" s="121">
        <v>0</v>
      </c>
      <c r="I22" s="123">
        <v>0</v>
      </c>
      <c r="J22" s="118">
        <v>15</v>
      </c>
      <c r="K22" s="20">
        <v>0</v>
      </c>
      <c r="L22" s="20"/>
      <c r="M22" s="109"/>
      <c r="N22" s="109"/>
      <c r="O22" s="109"/>
      <c r="P22" s="109"/>
      <c r="Q22" s="109"/>
      <c r="R22" s="109"/>
      <c r="S22" s="100"/>
      <c r="T22" s="100"/>
      <c r="U22" s="100"/>
      <c r="V22" s="13"/>
    </row>
    <row r="23" spans="1:22" ht="17" thickBot="1" x14ac:dyDescent="0.25">
      <c r="A23" s="16">
        <v>14</v>
      </c>
      <c r="B23" s="34" t="s">
        <v>86</v>
      </c>
      <c r="C23" s="124">
        <v>0</v>
      </c>
      <c r="D23" s="124">
        <f t="shared" si="2"/>
        <v>0</v>
      </c>
      <c r="E23" s="124">
        <v>0</v>
      </c>
      <c r="F23" s="132">
        <f t="shared" si="1"/>
        <v>0</v>
      </c>
      <c r="G23" s="125">
        <v>0</v>
      </c>
      <c r="H23" s="124">
        <v>0</v>
      </c>
      <c r="I23" s="126">
        <v>0</v>
      </c>
      <c r="J23" s="118">
        <v>50</v>
      </c>
      <c r="K23" s="20">
        <v>0</v>
      </c>
      <c r="L23" s="20"/>
      <c r="M23" s="109"/>
      <c r="N23" s="109"/>
      <c r="O23" s="109"/>
      <c r="P23" s="109"/>
      <c r="Q23" s="109"/>
      <c r="R23" s="109"/>
      <c r="S23" s="100"/>
      <c r="T23" s="100"/>
      <c r="U23" s="102"/>
      <c r="V23" s="13"/>
    </row>
    <row r="24" spans="1:22" ht="16" thickBot="1" x14ac:dyDescent="0.25">
      <c r="A24" s="17"/>
      <c r="C24" s="136">
        <f>SUM(C5:C23)</f>
        <v>92500</v>
      </c>
      <c r="D24" s="136">
        <f t="shared" ref="D24:I24" si="3">SUM(D5:D23)</f>
        <v>92730</v>
      </c>
      <c r="E24" s="136">
        <f t="shared" si="3"/>
        <v>89500</v>
      </c>
      <c r="F24" s="136">
        <f t="shared" si="3"/>
        <v>182230</v>
      </c>
      <c r="G24" s="136">
        <f t="shared" si="3"/>
        <v>68500</v>
      </c>
      <c r="H24" s="136">
        <f t="shared" si="3"/>
        <v>31580</v>
      </c>
      <c r="I24" s="136">
        <f t="shared" si="3"/>
        <v>85000</v>
      </c>
      <c r="J24" s="17"/>
      <c r="K24" s="29"/>
      <c r="L24" s="29"/>
      <c r="M24" s="110"/>
      <c r="N24" s="110"/>
      <c r="O24" s="110"/>
      <c r="P24" s="110"/>
      <c r="Q24" s="110"/>
      <c r="R24" s="110"/>
      <c r="V24" s="13"/>
    </row>
    <row r="25" spans="1:22" ht="16" x14ac:dyDescent="0.2">
      <c r="A25" s="16">
        <v>15</v>
      </c>
      <c r="B25" s="32" t="s">
        <v>87</v>
      </c>
      <c r="C25" s="28">
        <v>20000</v>
      </c>
      <c r="D25" s="28"/>
      <c r="E25" s="28"/>
      <c r="F25" s="28"/>
      <c r="G25" s="28"/>
      <c r="H25" s="28"/>
      <c r="I25" s="28"/>
      <c r="J25" s="16">
        <v>200</v>
      </c>
      <c r="K25" s="20" t="s">
        <v>88</v>
      </c>
      <c r="L25" s="20"/>
      <c r="M25" s="20"/>
      <c r="N25" s="20"/>
      <c r="O25" s="20"/>
      <c r="P25" s="20"/>
      <c r="Q25" s="20"/>
      <c r="R25" s="20"/>
      <c r="S25" s="101"/>
      <c r="T25" s="102"/>
      <c r="U25" s="102"/>
      <c r="V25" s="13"/>
    </row>
    <row r="26" spans="1:22" ht="16" thickBot="1" x14ac:dyDescent="0.25">
      <c r="A26" s="17"/>
      <c r="C26" s="37"/>
      <c r="D26" s="37"/>
      <c r="E26" s="37"/>
      <c r="F26" s="37"/>
      <c r="G26" s="37"/>
      <c r="H26" s="37"/>
      <c r="I26" s="37"/>
      <c r="J26" s="17"/>
      <c r="K26" s="29"/>
      <c r="L26" s="29"/>
      <c r="M26" s="29"/>
      <c r="N26" s="29"/>
      <c r="O26" s="29"/>
      <c r="P26" s="29"/>
      <c r="Q26" s="29"/>
      <c r="R26" s="29"/>
      <c r="V26" s="13"/>
    </row>
    <row r="27" spans="1:22" ht="16" x14ac:dyDescent="0.2">
      <c r="A27" s="16">
        <v>16</v>
      </c>
      <c r="B27" s="34" t="s">
        <v>89</v>
      </c>
      <c r="C27" s="121">
        <v>0</v>
      </c>
      <c r="D27" s="121">
        <v>0</v>
      </c>
      <c r="E27" s="121">
        <v>0</v>
      </c>
      <c r="F27" s="128">
        <v>0</v>
      </c>
      <c r="G27" s="129">
        <v>0</v>
      </c>
      <c r="H27" s="130">
        <v>0</v>
      </c>
      <c r="I27" s="131">
        <v>0</v>
      </c>
      <c r="J27" s="118"/>
      <c r="K27" s="20">
        <v>1800</v>
      </c>
      <c r="L27" s="20"/>
      <c r="M27" s="20"/>
      <c r="N27" s="20"/>
      <c r="O27" s="20"/>
      <c r="P27" s="20"/>
      <c r="Q27" s="20"/>
      <c r="R27" s="20"/>
      <c r="S27" s="100"/>
      <c r="T27" s="100"/>
      <c r="U27" s="100"/>
      <c r="V27" s="13"/>
    </row>
    <row r="28" spans="1:22" ht="17" thickBot="1" x14ac:dyDescent="0.25">
      <c r="A28" s="16">
        <v>17</v>
      </c>
      <c r="B28" s="32" t="s">
        <v>56</v>
      </c>
      <c r="C28" s="124">
        <v>5000</v>
      </c>
      <c r="D28" s="119">
        <f>SUM(G28,H28,I28)-E28</f>
        <v>9000</v>
      </c>
      <c r="E28" s="124">
        <v>10000</v>
      </c>
      <c r="F28" s="120">
        <f t="shared" ref="F28" si="4">SUM(G28:I28)</f>
        <v>19000</v>
      </c>
      <c r="G28" s="133">
        <v>15000</v>
      </c>
      <c r="H28" s="134">
        <v>1000</v>
      </c>
      <c r="I28" s="135">
        <v>3000</v>
      </c>
      <c r="J28" s="118">
        <v>25</v>
      </c>
      <c r="K28" s="20">
        <v>950</v>
      </c>
      <c r="L28" s="20"/>
      <c r="M28" s="20"/>
      <c r="N28" s="20"/>
      <c r="O28" s="20"/>
      <c r="P28" s="20"/>
      <c r="Q28" s="20"/>
      <c r="R28" s="20"/>
      <c r="S28" s="100"/>
      <c r="T28" s="100"/>
      <c r="U28" s="101"/>
      <c r="V28" s="13"/>
    </row>
    <row r="29" spans="1:22" ht="16" thickBot="1" x14ac:dyDescent="0.25">
      <c r="A29" s="17"/>
      <c r="C29" s="105">
        <f>SUM(C24:C28)</f>
        <v>117500</v>
      </c>
      <c r="D29" s="105">
        <f>SUM(D24:D28)</f>
        <v>101730</v>
      </c>
      <c r="E29" s="105">
        <f>SUM(E24:E28)</f>
        <v>99500</v>
      </c>
      <c r="F29" s="105">
        <f>SUM(F24:F28)</f>
        <v>201230</v>
      </c>
      <c r="G29" s="105">
        <f>SUM(G24:G28)</f>
        <v>83500</v>
      </c>
      <c r="H29" s="105">
        <f>SUM(H5:H28)</f>
        <v>64160</v>
      </c>
      <c r="I29" s="105">
        <f>SUM(I24:I28)</f>
        <v>88000</v>
      </c>
      <c r="J29" s="9"/>
      <c r="K29" s="104"/>
      <c r="L29" s="104"/>
      <c r="M29" s="104"/>
      <c r="N29" s="104"/>
      <c r="O29" s="104"/>
      <c r="P29" s="104"/>
      <c r="Q29" s="104"/>
      <c r="R29" s="104"/>
      <c r="S29" s="9"/>
      <c r="T29" s="9"/>
      <c r="U29" s="9"/>
      <c r="V29" s="13"/>
    </row>
    <row r="30" spans="1:22" x14ac:dyDescent="0.2">
      <c r="A30" s="17"/>
      <c r="C30" s="17"/>
      <c r="D30" s="17"/>
      <c r="E30" s="17"/>
      <c r="F30" s="17"/>
      <c r="G30" s="17"/>
      <c r="H30" s="17"/>
      <c r="I30" s="116">
        <v>93250</v>
      </c>
      <c r="J30" s="9" t="s">
        <v>90</v>
      </c>
      <c r="K30" s="104"/>
      <c r="L30" s="104"/>
      <c r="M30" s="104"/>
      <c r="N30" s="104"/>
      <c r="O30" s="104"/>
      <c r="P30" s="104"/>
      <c r="Q30" s="104"/>
      <c r="R30" s="104"/>
      <c r="S30" s="9"/>
      <c r="T30" s="9"/>
      <c r="U30" s="9"/>
      <c r="V30" s="13"/>
    </row>
    <row r="31" spans="1:22" x14ac:dyDescent="0.2">
      <c r="A31" s="16"/>
      <c r="B31" s="34"/>
      <c r="C31" s="16"/>
      <c r="D31" s="16"/>
      <c r="E31" s="16"/>
      <c r="F31" s="16"/>
      <c r="G31" s="16"/>
      <c r="H31" s="16"/>
      <c r="I31" s="16"/>
      <c r="J31" s="16"/>
      <c r="K31" s="20"/>
      <c r="L31" s="20"/>
      <c r="M31" s="20"/>
      <c r="N31" s="20"/>
      <c r="O31" s="20"/>
      <c r="P31" s="20"/>
      <c r="Q31" s="20"/>
      <c r="R31" s="20"/>
      <c r="V31" s="13"/>
    </row>
    <row r="32" spans="1:22" ht="16" x14ac:dyDescent="0.2">
      <c r="A32" s="16"/>
      <c r="B32" s="161" t="s">
        <v>91</v>
      </c>
      <c r="C32" s="16"/>
      <c r="D32" s="16"/>
      <c r="E32" s="16"/>
      <c r="F32" s="16"/>
      <c r="G32" s="16"/>
      <c r="H32" s="16"/>
      <c r="I32" s="16"/>
      <c r="J32" s="127"/>
      <c r="K32" s="127"/>
      <c r="L32" s="127"/>
      <c r="M32" s="127"/>
      <c r="N32" s="127"/>
      <c r="O32" s="162">
        <v>0.25</v>
      </c>
      <c r="P32" s="162">
        <v>0.25</v>
      </c>
      <c r="Q32" s="162">
        <v>0.25</v>
      </c>
      <c r="R32" s="162">
        <v>0.25</v>
      </c>
      <c r="S32" s="9"/>
      <c r="T32" s="9"/>
      <c r="U32" s="9"/>
      <c r="V32" s="13"/>
    </row>
    <row r="33" spans="1:23" ht="16" x14ac:dyDescent="0.2">
      <c r="A33" s="16"/>
      <c r="B33" s="161" t="s">
        <v>92</v>
      </c>
      <c r="C33" s="16"/>
      <c r="D33" s="16"/>
      <c r="E33" s="16"/>
      <c r="F33" s="16"/>
      <c r="G33" s="16"/>
      <c r="H33" s="16"/>
      <c r="I33" s="16"/>
      <c r="J33" s="16"/>
      <c r="K33" s="127"/>
      <c r="L33" s="127"/>
      <c r="M33" s="127"/>
      <c r="N33" s="127"/>
      <c r="O33" s="162">
        <v>0.25</v>
      </c>
      <c r="P33" s="162">
        <v>0.25</v>
      </c>
      <c r="Q33" s="162">
        <v>0.5</v>
      </c>
      <c r="R33" s="162">
        <v>0.5</v>
      </c>
      <c r="T33" s="1"/>
      <c r="U33" s="1"/>
      <c r="V33" s="12"/>
    </row>
    <row r="34" spans="1:23" ht="16" x14ac:dyDescent="0.2">
      <c r="A34" s="16"/>
      <c r="B34" s="161" t="s">
        <v>93</v>
      </c>
      <c r="C34" s="16"/>
      <c r="D34" s="16"/>
      <c r="E34" s="16"/>
      <c r="F34" s="16"/>
      <c r="G34" s="16"/>
      <c r="H34" s="16"/>
      <c r="I34" s="16"/>
      <c r="J34" s="16"/>
      <c r="K34" s="16"/>
      <c r="L34" s="16">
        <v>1</v>
      </c>
      <c r="M34" s="16">
        <v>5</v>
      </c>
      <c r="N34" s="16">
        <v>5</v>
      </c>
      <c r="O34" s="16">
        <v>10</v>
      </c>
      <c r="P34" s="16">
        <v>10</v>
      </c>
      <c r="Q34" s="16">
        <v>20</v>
      </c>
      <c r="R34" s="16" t="s">
        <v>94</v>
      </c>
      <c r="V34" s="14"/>
      <c r="W34" s="8"/>
    </row>
    <row r="35" spans="1:23" ht="16" x14ac:dyDescent="0.2">
      <c r="A35" s="16"/>
      <c r="B35" s="34"/>
      <c r="C35" s="16"/>
      <c r="D35" s="16"/>
      <c r="E35" s="16"/>
      <c r="F35" s="16"/>
      <c r="G35" s="16"/>
      <c r="H35" s="16"/>
      <c r="I35" s="16"/>
      <c r="J35" s="16"/>
      <c r="K35" s="20"/>
      <c r="L35" s="20"/>
      <c r="M35" s="20"/>
      <c r="N35" s="20"/>
      <c r="O35" s="20"/>
      <c r="P35" s="20"/>
      <c r="Q35" s="20"/>
      <c r="R35" s="20"/>
      <c r="V35" s="14"/>
      <c r="W35" s="1"/>
    </row>
    <row r="36" spans="1:23" x14ac:dyDescent="0.2">
      <c r="A36" s="17"/>
      <c r="C36" s="17"/>
      <c r="D36" s="17"/>
      <c r="E36" s="17"/>
      <c r="F36" s="17"/>
      <c r="G36" s="17"/>
      <c r="H36" s="17"/>
      <c r="I36" s="17"/>
      <c r="J36" s="17"/>
      <c r="K36" s="29"/>
      <c r="L36" s="29"/>
      <c r="M36" s="29"/>
      <c r="N36" s="29"/>
      <c r="O36" s="29"/>
      <c r="P36" s="29"/>
      <c r="Q36" s="29"/>
      <c r="R36" s="29"/>
      <c r="V36" s="14"/>
      <c r="W36" s="9"/>
    </row>
  </sheetData>
  <pageMargins left="0.3" right="0.25" top="0.75" bottom="0.75" header="0.3" footer="0.3"/>
  <pageSetup paperSize="5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5EDF-67EA-4007-A2F3-98A9FF273B99}">
  <dimension ref="A1:N10"/>
  <sheetViews>
    <sheetView zoomScale="90" zoomScaleNormal="90" workbookViewId="0">
      <selection activeCell="R13" sqref="R13"/>
    </sheetView>
  </sheetViews>
  <sheetFormatPr baseColWidth="10" defaultColWidth="8.83203125" defaultRowHeight="15" x14ac:dyDescent="0.2"/>
  <cols>
    <col min="1" max="1" width="18.5" customWidth="1"/>
    <col min="2" max="13" width="6.6640625" customWidth="1"/>
  </cols>
  <sheetData>
    <row r="1" spans="1:14" x14ac:dyDescent="0.2">
      <c r="A1" s="305" t="s">
        <v>208</v>
      </c>
    </row>
    <row r="2" spans="1:14" s="288" customFormat="1" ht="19" x14ac:dyDescent="0.25">
      <c r="B2" s="302" t="s">
        <v>206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1:14" s="229" customFormat="1" ht="21" x14ac:dyDescent="0.2">
      <c r="A3" s="291"/>
      <c r="B3" s="292">
        <v>0</v>
      </c>
      <c r="C3" s="292">
        <v>1</v>
      </c>
      <c r="D3" s="292">
        <v>2</v>
      </c>
      <c r="E3" s="292">
        <v>3</v>
      </c>
      <c r="F3" s="292">
        <v>4</v>
      </c>
      <c r="G3" s="292">
        <v>5</v>
      </c>
      <c r="H3" s="292">
        <v>6</v>
      </c>
      <c r="I3" s="293">
        <v>7</v>
      </c>
      <c r="J3" s="293">
        <v>8</v>
      </c>
      <c r="K3" s="294">
        <v>9</v>
      </c>
      <c r="L3" s="294">
        <v>10</v>
      </c>
      <c r="M3" s="295" t="s">
        <v>162</v>
      </c>
    </row>
    <row r="4" spans="1:14" ht="31.5" customHeight="1" x14ac:dyDescent="0.2">
      <c r="A4" s="296" t="s">
        <v>163</v>
      </c>
      <c r="B4" s="297"/>
      <c r="C4" s="297"/>
      <c r="D4" s="297">
        <v>0.1</v>
      </c>
      <c r="E4" s="297"/>
      <c r="F4" s="297"/>
      <c r="G4" s="297">
        <v>0.1</v>
      </c>
      <c r="H4" s="297"/>
      <c r="I4" s="298">
        <v>0.1</v>
      </c>
      <c r="J4" s="298">
        <v>0.1</v>
      </c>
      <c r="K4" s="299">
        <v>0.3</v>
      </c>
      <c r="L4" s="299">
        <v>0.3</v>
      </c>
      <c r="M4" s="295">
        <v>40</v>
      </c>
      <c r="N4" s="300" t="s">
        <v>193</v>
      </c>
    </row>
    <row r="5" spans="1:14" ht="28.5" customHeight="1" x14ac:dyDescent="0.2">
      <c r="A5" s="296" t="s">
        <v>164</v>
      </c>
      <c r="B5" s="297"/>
      <c r="C5" s="297"/>
      <c r="D5" s="297"/>
      <c r="E5" s="297"/>
      <c r="F5" s="297"/>
      <c r="G5" s="297">
        <v>0.1</v>
      </c>
      <c r="H5" s="297">
        <v>0.1</v>
      </c>
      <c r="I5" s="298">
        <v>0.2</v>
      </c>
      <c r="J5" s="298">
        <v>0.3</v>
      </c>
      <c r="K5" s="299">
        <v>0.1</v>
      </c>
      <c r="L5" s="299">
        <v>0.2</v>
      </c>
      <c r="M5" s="295">
        <v>10</v>
      </c>
      <c r="N5" s="301" t="s">
        <v>194</v>
      </c>
    </row>
    <row r="6" spans="1:14" x14ac:dyDescent="0.2">
      <c r="M6" s="178"/>
    </row>
    <row r="7" spans="1:14" s="288" customFormat="1" ht="19" x14ac:dyDescent="0.25">
      <c r="B7" s="302" t="s">
        <v>207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</row>
    <row r="8" spans="1:14" s="229" customFormat="1" ht="21" x14ac:dyDescent="0.2">
      <c r="A8" s="291"/>
      <c r="B8" s="292">
        <v>0</v>
      </c>
      <c r="C8" s="292">
        <v>1</v>
      </c>
      <c r="D8" s="292">
        <v>2</v>
      </c>
      <c r="E8" s="292">
        <v>3</v>
      </c>
      <c r="F8" s="292">
        <v>4</v>
      </c>
      <c r="G8" s="292">
        <v>5</v>
      </c>
      <c r="H8" s="292">
        <v>6</v>
      </c>
      <c r="I8" s="293">
        <v>7</v>
      </c>
      <c r="J8" s="293">
        <v>8</v>
      </c>
      <c r="K8" s="294">
        <v>9</v>
      </c>
      <c r="L8" s="294">
        <v>10</v>
      </c>
      <c r="M8" s="295" t="s">
        <v>162</v>
      </c>
    </row>
    <row r="9" spans="1:14" ht="29.5" customHeight="1" x14ac:dyDescent="0.2">
      <c r="A9" s="296" t="s">
        <v>163</v>
      </c>
      <c r="B9" s="297"/>
      <c r="C9" s="297"/>
      <c r="D9" s="297"/>
      <c r="E9" s="297"/>
      <c r="F9" s="297"/>
      <c r="G9" s="297"/>
      <c r="H9" s="297">
        <v>0.1</v>
      </c>
      <c r="I9" s="298"/>
      <c r="J9" s="298">
        <v>0.2</v>
      </c>
      <c r="K9" s="299">
        <v>0.3</v>
      </c>
      <c r="L9" s="299">
        <v>0.4</v>
      </c>
      <c r="M9" s="295">
        <v>60</v>
      </c>
      <c r="N9" s="290" t="s">
        <v>195</v>
      </c>
    </row>
    <row r="10" spans="1:14" ht="29" customHeight="1" x14ac:dyDescent="0.2">
      <c r="A10" s="296" t="s">
        <v>164</v>
      </c>
      <c r="B10" s="297"/>
      <c r="C10" s="297"/>
      <c r="D10" s="297"/>
      <c r="E10" s="297"/>
      <c r="F10" s="297"/>
      <c r="G10" s="297">
        <v>0.1</v>
      </c>
      <c r="H10" s="297">
        <v>0.2</v>
      </c>
      <c r="I10" s="298">
        <v>0.1</v>
      </c>
      <c r="J10" s="298">
        <v>0.2</v>
      </c>
      <c r="K10" s="299">
        <v>0.3</v>
      </c>
      <c r="L10" s="299">
        <v>0.1</v>
      </c>
      <c r="M10" s="295">
        <v>10</v>
      </c>
      <c r="N10" s="290" t="s">
        <v>196</v>
      </c>
    </row>
  </sheetData>
  <phoneticPr fontId="19" type="noConversion"/>
  <hyperlinks>
    <hyperlink ref="A1" r:id="rId1" xr:uid="{E99205BC-8B8A-4446-898B-FBE89FADB454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3E9A-8289-4A26-960D-647635565864}">
  <sheetPr>
    <pageSetUpPr fitToPage="1"/>
  </sheetPr>
  <dimension ref="A1:S41"/>
  <sheetViews>
    <sheetView zoomScale="90" zoomScaleNormal="9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V13" sqref="V13"/>
    </sheetView>
  </sheetViews>
  <sheetFormatPr baseColWidth="10" defaultColWidth="8.83203125" defaultRowHeight="15" x14ac:dyDescent="0.2"/>
  <cols>
    <col min="1" max="1" width="43.5" customWidth="1"/>
    <col min="2" max="4" width="6.83203125" style="178" customWidth="1"/>
    <col min="5" max="6" width="6.5" style="178" customWidth="1"/>
    <col min="7" max="9" width="6.83203125" style="178" customWidth="1"/>
    <col min="10" max="10" width="6.83203125" customWidth="1"/>
    <col min="11" max="11" width="7.83203125" style="199" customWidth="1"/>
    <col min="12" max="14" width="8.6640625" hidden="1" customWidth="1"/>
    <col min="15" max="16" width="9.5" hidden="1" customWidth="1"/>
    <col min="17" max="18" width="8.6640625" hidden="1" customWidth="1"/>
  </cols>
  <sheetData>
    <row r="1" spans="1:19" s="186" customFormat="1" ht="31.5" customHeight="1" x14ac:dyDescent="0.2">
      <c r="A1" s="185" t="s">
        <v>198</v>
      </c>
      <c r="B1" s="184" t="s">
        <v>96</v>
      </c>
      <c r="C1" s="190" t="s">
        <v>197</v>
      </c>
      <c r="D1" s="190" t="s">
        <v>199</v>
      </c>
      <c r="E1" s="190" t="s">
        <v>200</v>
      </c>
      <c r="F1" s="190" t="s">
        <v>201</v>
      </c>
      <c r="G1" s="190" t="s">
        <v>202</v>
      </c>
      <c r="H1" s="190" t="s">
        <v>203</v>
      </c>
      <c r="I1" s="190" t="s">
        <v>204</v>
      </c>
      <c r="J1" s="191" t="s">
        <v>97</v>
      </c>
      <c r="K1" s="303" t="s">
        <v>205</v>
      </c>
      <c r="L1" s="190" t="s">
        <v>98</v>
      </c>
      <c r="M1" s="190" t="s">
        <v>99</v>
      </c>
      <c r="N1" s="190" t="s">
        <v>100</v>
      </c>
      <c r="O1" s="190" t="s">
        <v>101</v>
      </c>
      <c r="P1" s="190" t="s">
        <v>102</v>
      </c>
      <c r="Q1" s="190" t="s">
        <v>103</v>
      </c>
      <c r="R1" s="190" t="s">
        <v>104</v>
      </c>
      <c r="S1" s="186" t="s">
        <v>171</v>
      </c>
    </row>
    <row r="2" spans="1:19" s="176" customFormat="1" ht="16" customHeight="1" x14ac:dyDescent="0.2">
      <c r="A2" s="181" t="s">
        <v>108</v>
      </c>
      <c r="B2" s="36">
        <v>72</v>
      </c>
      <c r="C2" s="36">
        <v>72</v>
      </c>
      <c r="D2" s="36">
        <v>72</v>
      </c>
      <c r="E2" s="36">
        <f t="shared" ref="E2:E20" si="0">(L2+M2+Q2+R2+P2+O2+N2)*S2</f>
        <v>96</v>
      </c>
      <c r="F2" s="36">
        <v>120</v>
      </c>
      <c r="G2" s="36">
        <v>72</v>
      </c>
      <c r="H2" s="36">
        <v>84</v>
      </c>
      <c r="I2" s="36">
        <v>168</v>
      </c>
      <c r="J2" s="3">
        <f t="shared" ref="J2:J15" si="1">SUM(B2:I2)</f>
        <v>756</v>
      </c>
      <c r="K2" s="198">
        <f>J2*40</f>
        <v>30240</v>
      </c>
      <c r="L2" s="3">
        <v>0.25</v>
      </c>
      <c r="M2" s="3">
        <v>0</v>
      </c>
      <c r="N2" s="3">
        <v>0</v>
      </c>
      <c r="O2" s="3">
        <v>0</v>
      </c>
      <c r="P2" s="3">
        <v>0</v>
      </c>
      <c r="Q2" s="3">
        <v>1.5</v>
      </c>
      <c r="R2" s="3">
        <v>0.25</v>
      </c>
      <c r="S2" s="3">
        <v>48</v>
      </c>
    </row>
    <row r="3" spans="1:19" ht="16" x14ac:dyDescent="0.2">
      <c r="A3" s="181" t="s">
        <v>17</v>
      </c>
      <c r="B3" s="36">
        <v>58</v>
      </c>
      <c r="C3" s="36">
        <v>48</v>
      </c>
      <c r="D3" s="36">
        <v>101</v>
      </c>
      <c r="E3" s="36">
        <f t="shared" si="0"/>
        <v>22</v>
      </c>
      <c r="F3" s="36">
        <v>25</v>
      </c>
      <c r="G3" s="36">
        <v>17</v>
      </c>
      <c r="H3" s="36">
        <v>20</v>
      </c>
      <c r="I3" s="36">
        <v>44</v>
      </c>
      <c r="J3" s="3">
        <f t="shared" si="1"/>
        <v>335</v>
      </c>
      <c r="K3" s="198">
        <f t="shared" ref="K3:K7" si="2">J3*40</f>
        <v>13400</v>
      </c>
      <c r="L3" s="3">
        <v>5</v>
      </c>
      <c r="M3" s="3">
        <v>4</v>
      </c>
      <c r="N3" s="3">
        <v>1</v>
      </c>
      <c r="O3" s="3">
        <v>3</v>
      </c>
      <c r="P3" s="3">
        <v>2</v>
      </c>
      <c r="Q3" s="3">
        <v>6</v>
      </c>
      <c r="R3" s="3">
        <v>1</v>
      </c>
      <c r="S3" s="3">
        <v>1</v>
      </c>
    </row>
    <row r="4" spans="1:19" ht="16" x14ac:dyDescent="0.2">
      <c r="A4" s="181" t="s">
        <v>9</v>
      </c>
      <c r="B4" s="36">
        <v>59</v>
      </c>
      <c r="C4" s="36">
        <v>40</v>
      </c>
      <c r="D4" s="36">
        <v>80</v>
      </c>
      <c r="E4" s="36">
        <f t="shared" si="0"/>
        <v>43</v>
      </c>
      <c r="F4" s="36">
        <v>25</v>
      </c>
      <c r="G4" s="36">
        <v>14</v>
      </c>
      <c r="H4" s="36">
        <v>20</v>
      </c>
      <c r="I4" s="36">
        <v>20</v>
      </c>
      <c r="J4" s="3">
        <f t="shared" si="1"/>
        <v>301</v>
      </c>
      <c r="K4" s="198">
        <f t="shared" si="2"/>
        <v>12040</v>
      </c>
      <c r="L4" s="3">
        <v>10</v>
      </c>
      <c r="M4" s="3">
        <v>8</v>
      </c>
      <c r="N4" s="3">
        <v>1</v>
      </c>
      <c r="O4" s="3">
        <v>16</v>
      </c>
      <c r="P4" s="3">
        <v>2</v>
      </c>
      <c r="Q4" s="3">
        <v>4</v>
      </c>
      <c r="R4" s="3">
        <v>2</v>
      </c>
      <c r="S4" s="3">
        <v>1</v>
      </c>
    </row>
    <row r="5" spans="1:19" ht="16" x14ac:dyDescent="0.2">
      <c r="A5" s="181" t="s">
        <v>20</v>
      </c>
      <c r="B5" s="36">
        <v>47</v>
      </c>
      <c r="C5" s="36">
        <v>90</v>
      </c>
      <c r="D5" s="36">
        <v>68</v>
      </c>
      <c r="E5" s="36">
        <f t="shared" si="0"/>
        <v>97</v>
      </c>
      <c r="F5" s="36">
        <v>25</v>
      </c>
      <c r="G5" s="36">
        <v>15</v>
      </c>
      <c r="H5" s="36">
        <v>17</v>
      </c>
      <c r="I5" s="197">
        <v>15</v>
      </c>
      <c r="J5" s="3">
        <f t="shared" si="1"/>
        <v>374</v>
      </c>
      <c r="K5" s="198">
        <f t="shared" si="2"/>
        <v>14960</v>
      </c>
      <c r="L5" s="3">
        <v>30</v>
      </c>
      <c r="M5" s="3">
        <v>16</v>
      </c>
      <c r="N5" s="3">
        <v>2</v>
      </c>
      <c r="O5" s="3">
        <v>40</v>
      </c>
      <c r="P5" s="3">
        <v>2</v>
      </c>
      <c r="Q5" s="3">
        <v>5</v>
      </c>
      <c r="R5" s="3">
        <v>2</v>
      </c>
      <c r="S5" s="3">
        <v>1</v>
      </c>
    </row>
    <row r="6" spans="1:19" ht="16" x14ac:dyDescent="0.2">
      <c r="A6" s="304" t="s">
        <v>21</v>
      </c>
      <c r="B6" s="36">
        <v>20</v>
      </c>
      <c r="C6" s="36">
        <v>7</v>
      </c>
      <c r="D6" s="36">
        <v>0</v>
      </c>
      <c r="E6" s="36">
        <f t="shared" si="0"/>
        <v>158</v>
      </c>
      <c r="F6" s="36">
        <v>149</v>
      </c>
      <c r="G6" s="36">
        <v>9</v>
      </c>
      <c r="H6" s="36">
        <v>200</v>
      </c>
      <c r="I6" s="36">
        <v>1</v>
      </c>
      <c r="J6" s="3">
        <f t="shared" si="1"/>
        <v>544</v>
      </c>
      <c r="K6" s="198">
        <f t="shared" si="2"/>
        <v>21760</v>
      </c>
      <c r="L6" s="3">
        <f>40</f>
        <v>40</v>
      </c>
      <c r="M6" s="3">
        <v>10</v>
      </c>
      <c r="N6" s="3">
        <v>4</v>
      </c>
      <c r="O6" s="3">
        <v>10</v>
      </c>
      <c r="P6" s="3">
        <v>10</v>
      </c>
      <c r="Q6" s="3">
        <v>80</v>
      </c>
      <c r="R6" s="3">
        <v>4</v>
      </c>
      <c r="S6" s="3">
        <v>1</v>
      </c>
    </row>
    <row r="7" spans="1:19" ht="16" x14ac:dyDescent="0.2">
      <c r="A7" s="181" t="s">
        <v>25</v>
      </c>
      <c r="B7" s="197">
        <v>25</v>
      </c>
      <c r="C7" s="36">
        <v>52</v>
      </c>
      <c r="D7" s="36">
        <v>63</v>
      </c>
      <c r="E7" s="36">
        <f t="shared" si="0"/>
        <v>18</v>
      </c>
      <c r="F7" s="36">
        <v>0</v>
      </c>
      <c r="G7" s="36">
        <v>17</v>
      </c>
      <c r="H7" s="36">
        <v>19</v>
      </c>
      <c r="I7" s="197">
        <v>25</v>
      </c>
      <c r="J7" s="3">
        <f t="shared" si="1"/>
        <v>219</v>
      </c>
      <c r="K7" s="198">
        <f t="shared" si="2"/>
        <v>8760</v>
      </c>
      <c r="L7" s="3">
        <v>3</v>
      </c>
      <c r="M7" s="3">
        <v>2</v>
      </c>
      <c r="N7" s="3">
        <v>1</v>
      </c>
      <c r="O7" s="3">
        <v>2</v>
      </c>
      <c r="P7" s="3">
        <v>1</v>
      </c>
      <c r="Q7" s="3">
        <v>8</v>
      </c>
      <c r="R7" s="3">
        <v>1</v>
      </c>
      <c r="S7" s="3">
        <v>1</v>
      </c>
    </row>
    <row r="8" spans="1:19" ht="16" x14ac:dyDescent="0.2">
      <c r="A8" s="181" t="s">
        <v>27</v>
      </c>
      <c r="B8" s="36">
        <v>13</v>
      </c>
      <c r="C8" s="36">
        <v>9</v>
      </c>
      <c r="D8" s="36">
        <v>54</v>
      </c>
      <c r="E8" s="36">
        <f t="shared" si="0"/>
        <v>17</v>
      </c>
      <c r="F8" s="36">
        <v>11</v>
      </c>
      <c r="G8" s="36">
        <v>6</v>
      </c>
      <c r="H8" s="36">
        <v>9</v>
      </c>
      <c r="I8" s="197">
        <v>5</v>
      </c>
      <c r="J8" s="3">
        <f t="shared" si="1"/>
        <v>124</v>
      </c>
      <c r="K8" s="198">
        <f t="shared" ref="K8:K15" si="3">J8*40</f>
        <v>4960</v>
      </c>
      <c r="L8" s="3">
        <v>3</v>
      </c>
      <c r="M8" s="3">
        <v>4</v>
      </c>
      <c r="N8" s="3">
        <v>1</v>
      </c>
      <c r="O8" s="3">
        <v>3</v>
      </c>
      <c r="P8" s="3">
        <v>1</v>
      </c>
      <c r="Q8" s="3">
        <v>4</v>
      </c>
      <c r="R8" s="3">
        <v>1</v>
      </c>
      <c r="S8" s="3">
        <v>1</v>
      </c>
    </row>
    <row r="9" spans="1:19" ht="16" x14ac:dyDescent="0.2">
      <c r="A9" s="181" t="s">
        <v>28</v>
      </c>
      <c r="B9" s="36">
        <v>11</v>
      </c>
      <c r="C9" s="36">
        <v>9</v>
      </c>
      <c r="D9" s="36">
        <v>52</v>
      </c>
      <c r="E9" s="36">
        <f t="shared" si="0"/>
        <v>12</v>
      </c>
      <c r="F9" s="36">
        <v>11</v>
      </c>
      <c r="G9" s="36">
        <v>5</v>
      </c>
      <c r="H9" s="36">
        <v>3</v>
      </c>
      <c r="I9" s="197">
        <v>5</v>
      </c>
      <c r="J9" s="3">
        <f t="shared" si="1"/>
        <v>108</v>
      </c>
      <c r="K9" s="198">
        <f t="shared" si="3"/>
        <v>4320</v>
      </c>
      <c r="L9" s="3">
        <v>3</v>
      </c>
      <c r="M9" s="3">
        <v>3</v>
      </c>
      <c r="N9" s="3">
        <v>1</v>
      </c>
      <c r="O9" s="3">
        <v>1</v>
      </c>
      <c r="P9" s="3">
        <v>1</v>
      </c>
      <c r="Q9" s="3">
        <v>2</v>
      </c>
      <c r="R9" s="3">
        <v>1</v>
      </c>
      <c r="S9" s="3">
        <v>1</v>
      </c>
    </row>
    <row r="10" spans="1:19" ht="16" x14ac:dyDescent="0.2">
      <c r="A10" s="181" t="s">
        <v>47</v>
      </c>
      <c r="B10" s="36">
        <v>56</v>
      </c>
      <c r="C10" s="36">
        <v>25</v>
      </c>
      <c r="D10" s="36">
        <v>78</v>
      </c>
      <c r="E10" s="36">
        <f t="shared" si="0"/>
        <v>17</v>
      </c>
      <c r="F10" s="36">
        <v>8</v>
      </c>
      <c r="G10" s="36">
        <v>17</v>
      </c>
      <c r="H10" s="36">
        <v>17</v>
      </c>
      <c r="I10" s="197">
        <v>5</v>
      </c>
      <c r="J10" s="3">
        <f t="shared" si="1"/>
        <v>223</v>
      </c>
      <c r="K10" s="198">
        <f t="shared" si="3"/>
        <v>8920</v>
      </c>
      <c r="L10" s="3">
        <v>3</v>
      </c>
      <c r="M10" s="3">
        <v>3</v>
      </c>
      <c r="N10" s="3">
        <v>1</v>
      </c>
      <c r="O10" s="3">
        <v>0</v>
      </c>
      <c r="P10" s="3">
        <v>1</v>
      </c>
      <c r="Q10" s="3">
        <v>8</v>
      </c>
      <c r="R10" s="3">
        <v>1</v>
      </c>
      <c r="S10" s="3">
        <v>1</v>
      </c>
    </row>
    <row r="11" spans="1:19" ht="16" x14ac:dyDescent="0.2">
      <c r="A11" s="181" t="s">
        <v>12</v>
      </c>
      <c r="B11" s="36">
        <v>64</v>
      </c>
      <c r="C11" s="36">
        <v>35</v>
      </c>
      <c r="D11" s="36">
        <v>86</v>
      </c>
      <c r="E11" s="36">
        <f t="shared" si="0"/>
        <v>16</v>
      </c>
      <c r="F11" s="36">
        <v>2</v>
      </c>
      <c r="G11" s="36">
        <v>17</v>
      </c>
      <c r="H11" s="36">
        <v>16</v>
      </c>
      <c r="I11" s="36">
        <v>33</v>
      </c>
      <c r="J11" s="3">
        <f t="shared" si="1"/>
        <v>269</v>
      </c>
      <c r="K11" s="198">
        <f t="shared" si="3"/>
        <v>10760</v>
      </c>
      <c r="L11" s="3">
        <v>3</v>
      </c>
      <c r="M11" s="3">
        <v>4</v>
      </c>
      <c r="N11" s="3">
        <v>1</v>
      </c>
      <c r="O11" s="3">
        <v>0</v>
      </c>
      <c r="P11" s="3">
        <v>1</v>
      </c>
      <c r="Q11" s="3">
        <v>6</v>
      </c>
      <c r="R11" s="3">
        <v>1</v>
      </c>
      <c r="S11" s="3">
        <v>1</v>
      </c>
    </row>
    <row r="12" spans="1:19" ht="16" x14ac:dyDescent="0.2">
      <c r="A12" s="181" t="s">
        <v>110</v>
      </c>
      <c r="B12" s="36">
        <v>10</v>
      </c>
      <c r="C12" s="36">
        <v>12</v>
      </c>
      <c r="D12" s="36">
        <v>19</v>
      </c>
      <c r="E12" s="36">
        <f t="shared" si="0"/>
        <v>11</v>
      </c>
      <c r="F12" s="36">
        <v>22</v>
      </c>
      <c r="G12" s="36">
        <v>0</v>
      </c>
      <c r="H12" s="36">
        <v>3</v>
      </c>
      <c r="I12" s="36">
        <v>28</v>
      </c>
      <c r="J12" s="3">
        <f t="shared" si="1"/>
        <v>105</v>
      </c>
      <c r="K12" s="198">
        <f t="shared" si="3"/>
        <v>4200</v>
      </c>
      <c r="L12" s="3">
        <v>2</v>
      </c>
      <c r="M12" s="3">
        <v>3</v>
      </c>
      <c r="N12" s="3">
        <v>1</v>
      </c>
      <c r="O12" s="3">
        <v>0</v>
      </c>
      <c r="P12" s="3">
        <v>1</v>
      </c>
      <c r="Q12" s="3">
        <v>3</v>
      </c>
      <c r="R12" s="3">
        <v>1</v>
      </c>
      <c r="S12" s="3">
        <v>1</v>
      </c>
    </row>
    <row r="13" spans="1:19" ht="16" x14ac:dyDescent="0.2">
      <c r="A13" s="181" t="s">
        <v>111</v>
      </c>
      <c r="B13" s="36">
        <v>10</v>
      </c>
      <c r="C13" s="36">
        <v>17</v>
      </c>
      <c r="D13" s="36">
        <v>19</v>
      </c>
      <c r="E13" s="36">
        <f t="shared" si="0"/>
        <v>0</v>
      </c>
      <c r="F13" s="36">
        <v>20</v>
      </c>
      <c r="G13" s="36">
        <v>0</v>
      </c>
      <c r="H13" s="36">
        <v>3</v>
      </c>
      <c r="I13" s="197">
        <v>0</v>
      </c>
      <c r="J13" s="3">
        <f t="shared" si="1"/>
        <v>69</v>
      </c>
      <c r="K13" s="198">
        <f t="shared" si="3"/>
        <v>2760</v>
      </c>
      <c r="L13" s="3">
        <v>2</v>
      </c>
      <c r="M13" s="3">
        <v>3</v>
      </c>
      <c r="N13" s="3">
        <v>1</v>
      </c>
      <c r="O13" s="3">
        <v>0</v>
      </c>
      <c r="P13" s="3">
        <v>1</v>
      </c>
      <c r="Q13" s="3">
        <v>3</v>
      </c>
      <c r="R13" s="3">
        <v>1</v>
      </c>
      <c r="S13" s="3"/>
    </row>
    <row r="14" spans="1:19" ht="16" x14ac:dyDescent="0.2">
      <c r="A14" s="181" t="s">
        <v>49</v>
      </c>
      <c r="B14" s="36">
        <v>34</v>
      </c>
      <c r="C14" s="36">
        <v>36</v>
      </c>
      <c r="D14" s="36">
        <v>0</v>
      </c>
      <c r="E14" s="36">
        <f t="shared" si="0"/>
        <v>22</v>
      </c>
      <c r="F14" s="36">
        <v>9</v>
      </c>
      <c r="G14" s="36">
        <v>0</v>
      </c>
      <c r="H14" s="36">
        <v>8</v>
      </c>
      <c r="I14" s="36">
        <v>2</v>
      </c>
      <c r="J14" s="3">
        <f t="shared" si="1"/>
        <v>111</v>
      </c>
      <c r="K14" s="198">
        <f t="shared" si="3"/>
        <v>4440</v>
      </c>
      <c r="L14" s="3">
        <v>2</v>
      </c>
      <c r="M14" s="3">
        <v>2</v>
      </c>
      <c r="N14" s="3">
        <v>0</v>
      </c>
      <c r="O14" s="3">
        <v>0</v>
      </c>
      <c r="P14" s="3">
        <v>1</v>
      </c>
      <c r="Q14" s="3">
        <v>5</v>
      </c>
      <c r="R14" s="3">
        <v>1</v>
      </c>
      <c r="S14" s="3">
        <v>2</v>
      </c>
    </row>
    <row r="15" spans="1:19" ht="16" x14ac:dyDescent="0.2">
      <c r="A15" s="181" t="s">
        <v>112</v>
      </c>
      <c r="B15" s="36">
        <v>19</v>
      </c>
      <c r="C15" s="36">
        <v>14</v>
      </c>
      <c r="D15" s="36">
        <v>106</v>
      </c>
      <c r="E15" s="36">
        <f t="shared" si="0"/>
        <v>21</v>
      </c>
      <c r="F15" s="36">
        <v>1</v>
      </c>
      <c r="G15" s="36">
        <v>1</v>
      </c>
      <c r="H15" s="36">
        <v>4</v>
      </c>
      <c r="I15" s="36">
        <v>36</v>
      </c>
      <c r="J15" s="3">
        <f t="shared" si="1"/>
        <v>202</v>
      </c>
      <c r="K15" s="198">
        <f t="shared" si="3"/>
        <v>8080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2</v>
      </c>
      <c r="R15" s="3">
        <v>1</v>
      </c>
      <c r="S15" s="3">
        <v>7</v>
      </c>
    </row>
    <row r="16" spans="1:19" ht="16" hidden="1" x14ac:dyDescent="0.2">
      <c r="A16" s="182" t="s">
        <v>40</v>
      </c>
      <c r="B16" s="36"/>
      <c r="C16" s="36"/>
      <c r="D16" s="36"/>
      <c r="E16" s="36">
        <f t="shared" si="0"/>
        <v>0</v>
      </c>
      <c r="F16" s="36"/>
      <c r="G16" s="36"/>
      <c r="H16" s="36"/>
      <c r="I16" s="36"/>
      <c r="J16" s="3">
        <f t="shared" ref="J16:J18" si="4">SUM(B16:I16)</f>
        <v>0</v>
      </c>
      <c r="K16" s="198">
        <f t="shared" ref="K16:K18" si="5">J16*40</f>
        <v>0</v>
      </c>
      <c r="L16" s="3">
        <v>0</v>
      </c>
      <c r="M16" s="3">
        <v>0</v>
      </c>
      <c r="N16" s="3"/>
      <c r="O16" s="3">
        <v>0</v>
      </c>
      <c r="P16" s="3"/>
      <c r="Q16" s="3">
        <v>0</v>
      </c>
      <c r="R16" s="3">
        <v>0</v>
      </c>
      <c r="S16" s="3"/>
    </row>
    <row r="17" spans="1:19" ht="16" hidden="1" x14ac:dyDescent="0.2">
      <c r="A17" s="182" t="s">
        <v>42</v>
      </c>
      <c r="B17" s="36"/>
      <c r="C17" s="36"/>
      <c r="D17" s="36"/>
      <c r="E17" s="36">
        <f t="shared" si="0"/>
        <v>0</v>
      </c>
      <c r="F17" s="36"/>
      <c r="G17" s="36"/>
      <c r="H17" s="36"/>
      <c r="I17" s="36"/>
      <c r="J17" s="3">
        <f t="shared" si="4"/>
        <v>0</v>
      </c>
      <c r="K17" s="198">
        <f t="shared" si="5"/>
        <v>0</v>
      </c>
      <c r="L17" s="3">
        <v>0</v>
      </c>
      <c r="M17" s="3">
        <v>0</v>
      </c>
      <c r="N17" s="3"/>
      <c r="O17" s="3">
        <v>0</v>
      </c>
      <c r="P17" s="3"/>
      <c r="Q17" s="3">
        <v>0</v>
      </c>
      <c r="R17" s="3">
        <v>0</v>
      </c>
      <c r="S17" s="3"/>
    </row>
    <row r="18" spans="1:19" ht="16" hidden="1" x14ac:dyDescent="0.2">
      <c r="A18" s="182" t="s">
        <v>43</v>
      </c>
      <c r="B18" s="36"/>
      <c r="C18" s="36"/>
      <c r="D18" s="36"/>
      <c r="E18" s="36" t="e">
        <f t="shared" si="0"/>
        <v>#VALUE!</v>
      </c>
      <c r="F18" s="36"/>
      <c r="G18" s="36"/>
      <c r="H18" s="36"/>
      <c r="I18" s="36"/>
      <c r="J18" s="3" t="e">
        <f t="shared" si="4"/>
        <v>#VALUE!</v>
      </c>
      <c r="K18" s="198" t="e">
        <f t="shared" si="5"/>
        <v>#VALUE!</v>
      </c>
      <c r="L18" s="3" t="s">
        <v>113</v>
      </c>
      <c r="M18" s="3"/>
      <c r="N18" s="3"/>
      <c r="O18" s="3"/>
      <c r="P18" s="3"/>
      <c r="Q18" s="3"/>
      <c r="R18" s="3"/>
      <c r="S18" s="3"/>
    </row>
    <row r="19" spans="1:19" ht="16" x14ac:dyDescent="0.2">
      <c r="A19" s="181" t="s">
        <v>114</v>
      </c>
      <c r="B19" s="197">
        <v>58</v>
      </c>
      <c r="C19" s="36">
        <v>42</v>
      </c>
      <c r="D19" s="36">
        <v>36</v>
      </c>
      <c r="E19" s="36">
        <f t="shared" si="0"/>
        <v>32</v>
      </c>
      <c r="F19" s="36">
        <v>63</v>
      </c>
      <c r="G19" s="36">
        <v>2</v>
      </c>
      <c r="H19" s="36">
        <v>16</v>
      </c>
      <c r="I19" s="36">
        <v>40</v>
      </c>
      <c r="J19" s="3">
        <f>SUM(B19:I19)</f>
        <v>289</v>
      </c>
      <c r="K19" s="198">
        <f>J19*40</f>
        <v>11560</v>
      </c>
      <c r="L19" s="3">
        <v>1</v>
      </c>
      <c r="M19" s="3">
        <v>1</v>
      </c>
      <c r="N19" s="3">
        <v>0</v>
      </c>
      <c r="O19" s="3">
        <v>1</v>
      </c>
      <c r="P19" s="3">
        <v>1</v>
      </c>
      <c r="Q19" s="3">
        <v>3</v>
      </c>
      <c r="R19" s="3">
        <v>1</v>
      </c>
      <c r="S19" s="3">
        <v>4</v>
      </c>
    </row>
    <row r="20" spans="1:19" ht="16" x14ac:dyDescent="0.2">
      <c r="A20" s="181" t="s">
        <v>41</v>
      </c>
      <c r="B20" s="36">
        <v>12</v>
      </c>
      <c r="C20" s="36">
        <v>34</v>
      </c>
      <c r="D20" s="36">
        <v>29</v>
      </c>
      <c r="E20" s="36">
        <f t="shared" si="0"/>
        <v>21</v>
      </c>
      <c r="F20" s="36">
        <v>3</v>
      </c>
      <c r="G20" s="36">
        <v>26</v>
      </c>
      <c r="H20" s="36">
        <v>21</v>
      </c>
      <c r="I20" s="197">
        <v>0</v>
      </c>
      <c r="J20" s="3">
        <f>SUM(B20:I20)</f>
        <v>146</v>
      </c>
      <c r="K20" s="198">
        <f>J20*40</f>
        <v>5840</v>
      </c>
      <c r="L20" s="3">
        <v>5</v>
      </c>
      <c r="M20" s="3">
        <v>6</v>
      </c>
      <c r="N20" s="3">
        <v>2</v>
      </c>
      <c r="O20" s="3">
        <v>0</v>
      </c>
      <c r="P20" s="3">
        <v>4</v>
      </c>
      <c r="Q20" s="3">
        <v>3</v>
      </c>
      <c r="R20" s="3">
        <v>1</v>
      </c>
      <c r="S20" s="3">
        <v>1</v>
      </c>
    </row>
    <row r="21" spans="1:19" ht="6" customHeight="1" x14ac:dyDescent="0.2">
      <c r="A21" s="187"/>
      <c r="B21" s="188"/>
      <c r="C21" s="188"/>
      <c r="D21" s="188"/>
      <c r="E21" s="188"/>
      <c r="F21" s="188"/>
      <c r="G21" s="188"/>
      <c r="H21" s="188"/>
      <c r="I21" s="188"/>
      <c r="J21" s="189"/>
      <c r="K21" s="200"/>
      <c r="L21" s="189"/>
      <c r="M21" s="189"/>
      <c r="N21" s="189"/>
      <c r="O21" s="189"/>
      <c r="P21" s="189"/>
      <c r="Q21" s="189"/>
      <c r="R21" s="189"/>
      <c r="S21" s="189"/>
    </row>
    <row r="22" spans="1:19" ht="16" customHeight="1" x14ac:dyDescent="0.2">
      <c r="A22" s="181" t="s">
        <v>115</v>
      </c>
      <c r="B22" s="36">
        <v>0</v>
      </c>
      <c r="C22" s="36">
        <v>15</v>
      </c>
      <c r="D22" s="36">
        <v>0</v>
      </c>
      <c r="E22" s="36">
        <f>(L22+M22+Q22+R22+P22+O22+N22)*S22</f>
        <v>36</v>
      </c>
      <c r="F22" s="36">
        <v>54</v>
      </c>
      <c r="G22" s="36">
        <v>0</v>
      </c>
      <c r="H22" s="36">
        <v>0</v>
      </c>
      <c r="I22" s="36">
        <v>0</v>
      </c>
      <c r="J22" s="3">
        <f>SUM(B22:I22)</f>
        <v>105</v>
      </c>
      <c r="K22" s="198">
        <f>J22*40</f>
        <v>4200</v>
      </c>
      <c r="L22" s="3">
        <v>0.5</v>
      </c>
      <c r="M22" s="3">
        <v>0.25</v>
      </c>
      <c r="N22" s="3">
        <v>0</v>
      </c>
      <c r="O22" s="3">
        <v>0</v>
      </c>
      <c r="P22" s="3">
        <v>0</v>
      </c>
      <c r="Q22" s="3">
        <v>2</v>
      </c>
      <c r="R22" s="3">
        <v>0.25</v>
      </c>
      <c r="S22" s="3">
        <v>12</v>
      </c>
    </row>
    <row r="23" spans="1:19" ht="16" customHeight="1" x14ac:dyDescent="0.2">
      <c r="A23" s="181" t="s">
        <v>116</v>
      </c>
      <c r="B23" s="36">
        <v>0</v>
      </c>
      <c r="C23" s="36">
        <v>3</v>
      </c>
      <c r="D23" s="36">
        <v>0</v>
      </c>
      <c r="E23" s="36">
        <f>(L23+M23+Q23+R23+P23+O23+N23)*S23</f>
        <v>39</v>
      </c>
      <c r="F23" s="36">
        <v>0</v>
      </c>
      <c r="G23" s="36">
        <v>132</v>
      </c>
      <c r="H23" s="36">
        <v>18</v>
      </c>
      <c r="I23" s="36">
        <v>0</v>
      </c>
      <c r="J23" s="3">
        <f>SUM(B23:I23)</f>
        <v>192</v>
      </c>
      <c r="K23" s="198">
        <f>J23*40</f>
        <v>7680</v>
      </c>
      <c r="L23" s="3">
        <v>0.5</v>
      </c>
      <c r="M23" s="3">
        <v>0.5</v>
      </c>
      <c r="N23" s="3">
        <v>0</v>
      </c>
      <c r="O23" s="3">
        <v>0</v>
      </c>
      <c r="P23" s="3">
        <v>0</v>
      </c>
      <c r="Q23" s="3">
        <v>2</v>
      </c>
      <c r="R23" s="3">
        <v>0.25</v>
      </c>
      <c r="S23" s="3">
        <v>12</v>
      </c>
    </row>
    <row r="24" spans="1:19" ht="16" customHeight="1" x14ac:dyDescent="0.2">
      <c r="A24" s="181" t="s">
        <v>117</v>
      </c>
      <c r="B24" s="36">
        <v>27</v>
      </c>
      <c r="C24" s="36">
        <v>9</v>
      </c>
      <c r="D24" s="36">
        <v>0</v>
      </c>
      <c r="E24" s="36">
        <f>(L24+M24+Q24+R24+P24+O24+N24)*S24</f>
        <v>54</v>
      </c>
      <c r="F24" s="36">
        <v>48</v>
      </c>
      <c r="G24" s="36">
        <v>24</v>
      </c>
      <c r="H24" s="36">
        <v>39</v>
      </c>
      <c r="I24" s="36">
        <v>0</v>
      </c>
      <c r="J24" s="3">
        <f>SUM(B24:I24)</f>
        <v>201</v>
      </c>
      <c r="K24" s="198">
        <f>J24*40</f>
        <v>8040</v>
      </c>
      <c r="L24" s="3">
        <v>1</v>
      </c>
      <c r="M24" s="3">
        <v>0.5</v>
      </c>
      <c r="N24" s="3">
        <v>0</v>
      </c>
      <c r="O24" s="3">
        <v>0</v>
      </c>
      <c r="P24" s="3">
        <v>0.5</v>
      </c>
      <c r="Q24" s="3">
        <v>2</v>
      </c>
      <c r="R24" s="3">
        <v>0.5</v>
      </c>
      <c r="S24" s="3">
        <v>12</v>
      </c>
    </row>
    <row r="25" spans="1:19" ht="16" customHeight="1" x14ac:dyDescent="0.2">
      <c r="A25" s="181" t="s">
        <v>118</v>
      </c>
      <c r="B25" s="36">
        <v>39</v>
      </c>
      <c r="C25" s="36">
        <v>48</v>
      </c>
      <c r="D25" s="36">
        <v>42</v>
      </c>
      <c r="E25" s="36">
        <v>59</v>
      </c>
      <c r="F25" s="36">
        <v>48</v>
      </c>
      <c r="G25" s="36">
        <v>30</v>
      </c>
      <c r="H25" s="36">
        <v>51</v>
      </c>
      <c r="I25" s="36">
        <v>36</v>
      </c>
      <c r="J25" s="3">
        <f>SUM(B25:I25)</f>
        <v>353</v>
      </c>
      <c r="K25" s="198">
        <f>J25*40</f>
        <v>14120</v>
      </c>
      <c r="L25" s="3">
        <v>2</v>
      </c>
      <c r="M25" s="3">
        <v>1</v>
      </c>
      <c r="N25" s="3">
        <v>0</v>
      </c>
      <c r="O25" s="3">
        <v>0</v>
      </c>
      <c r="P25" s="3">
        <v>0.5</v>
      </c>
      <c r="Q25" s="3">
        <v>2.5</v>
      </c>
      <c r="R25" s="3">
        <v>0.5</v>
      </c>
      <c r="S25" s="3">
        <v>9</v>
      </c>
    </row>
    <row r="26" spans="1:19" ht="16" customHeight="1" x14ac:dyDescent="0.2">
      <c r="A26" s="181" t="s">
        <v>119</v>
      </c>
      <c r="B26" s="36">
        <v>63</v>
      </c>
      <c r="C26" s="36">
        <v>0</v>
      </c>
      <c r="D26" s="36">
        <v>0</v>
      </c>
      <c r="E26" s="36">
        <f>(L26+M26+Q26+R26+P26+O26+N26)*S26</f>
        <v>0</v>
      </c>
      <c r="F26" s="36">
        <v>0</v>
      </c>
      <c r="G26" s="36">
        <v>6</v>
      </c>
      <c r="H26" s="36">
        <v>51</v>
      </c>
      <c r="I26" s="36">
        <v>9</v>
      </c>
      <c r="J26" s="3">
        <f>SUM(B26:I26)</f>
        <v>129</v>
      </c>
      <c r="K26" s="198">
        <f>J26*40</f>
        <v>5160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12</v>
      </c>
    </row>
    <row r="27" spans="1:19" ht="7.5" customHeight="1" x14ac:dyDescent="0.2">
      <c r="A27" s="187"/>
      <c r="B27" s="188"/>
      <c r="C27" s="188"/>
      <c r="D27" s="188"/>
      <c r="E27" s="188"/>
      <c r="F27" s="188"/>
      <c r="G27" s="188"/>
      <c r="H27" s="188"/>
      <c r="I27" s="188"/>
      <c r="J27" s="189"/>
      <c r="K27" s="200"/>
      <c r="L27" s="189"/>
      <c r="M27" s="189"/>
      <c r="N27" s="189"/>
      <c r="O27" s="189"/>
      <c r="P27" s="189"/>
      <c r="Q27" s="189"/>
      <c r="R27" s="189"/>
      <c r="S27" s="189"/>
    </row>
    <row r="28" spans="1:19" ht="16" x14ac:dyDescent="0.2">
      <c r="A28" s="181" t="s">
        <v>120</v>
      </c>
      <c r="B28" s="36">
        <v>0</v>
      </c>
      <c r="C28" s="36">
        <v>3</v>
      </c>
      <c r="D28" s="36">
        <v>198</v>
      </c>
      <c r="E28" s="36">
        <f t="shared" ref="E28:E34" si="6">(L28+M28+Q28+R28+P28+O28+N28)*S28</f>
        <v>0</v>
      </c>
      <c r="F28" s="36">
        <v>0</v>
      </c>
      <c r="G28" s="36">
        <v>0</v>
      </c>
      <c r="H28" s="36">
        <v>0</v>
      </c>
      <c r="I28" s="36">
        <v>66</v>
      </c>
      <c r="J28" s="3">
        <f t="shared" ref="J28:J34" si="7">SUM(B28:I28)</f>
        <v>267</v>
      </c>
      <c r="K28" s="198">
        <f t="shared" ref="K28:K34" si="8">J28*40</f>
        <v>10680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12</v>
      </c>
    </row>
    <row r="29" spans="1:19" ht="16" x14ac:dyDescent="0.2">
      <c r="A29" s="181" t="s">
        <v>121</v>
      </c>
      <c r="B29" s="36">
        <v>69</v>
      </c>
      <c r="C29" s="36">
        <v>0</v>
      </c>
      <c r="D29" s="36">
        <v>0</v>
      </c>
      <c r="E29" s="36">
        <f t="shared" si="6"/>
        <v>0</v>
      </c>
      <c r="F29" s="36">
        <v>0</v>
      </c>
      <c r="G29" s="36">
        <v>0</v>
      </c>
      <c r="H29" s="36">
        <v>33</v>
      </c>
      <c r="I29" s="36">
        <v>30</v>
      </c>
      <c r="J29" s="3">
        <f t="shared" si="7"/>
        <v>132</v>
      </c>
      <c r="K29" s="198">
        <f t="shared" si="8"/>
        <v>5280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12</v>
      </c>
    </row>
    <row r="30" spans="1:19" ht="16" x14ac:dyDescent="0.2">
      <c r="A30" s="181" t="s">
        <v>122</v>
      </c>
      <c r="B30" s="36">
        <v>0</v>
      </c>
      <c r="C30" s="36">
        <v>3</v>
      </c>
      <c r="D30" s="36">
        <v>84</v>
      </c>
      <c r="E30" s="36">
        <f t="shared" si="6"/>
        <v>0</v>
      </c>
      <c r="F30" s="36" t="s">
        <v>123</v>
      </c>
      <c r="G30" s="36">
        <v>0</v>
      </c>
      <c r="H30" s="36">
        <v>0</v>
      </c>
      <c r="I30" s="36">
        <v>0</v>
      </c>
      <c r="J30" s="3">
        <f t="shared" si="7"/>
        <v>87</v>
      </c>
      <c r="K30" s="198">
        <f t="shared" si="8"/>
        <v>3480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12</v>
      </c>
    </row>
    <row r="31" spans="1:19" ht="16" x14ac:dyDescent="0.2">
      <c r="A31" s="181" t="s">
        <v>124</v>
      </c>
      <c r="B31" s="36">
        <v>0</v>
      </c>
      <c r="C31" s="36">
        <v>0</v>
      </c>
      <c r="D31" s="36">
        <v>0</v>
      </c>
      <c r="E31" s="36">
        <f t="shared" si="6"/>
        <v>0</v>
      </c>
      <c r="F31" s="36">
        <v>0</v>
      </c>
      <c r="G31" s="36">
        <v>0</v>
      </c>
      <c r="H31" s="36">
        <v>0</v>
      </c>
      <c r="I31" s="36">
        <v>0</v>
      </c>
      <c r="J31" s="3">
        <f t="shared" si="7"/>
        <v>0</v>
      </c>
      <c r="K31" s="198">
        <f t="shared" si="8"/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12</v>
      </c>
    </row>
    <row r="32" spans="1:19" ht="16" x14ac:dyDescent="0.2">
      <c r="A32" s="181" t="s">
        <v>125</v>
      </c>
      <c r="B32" s="36">
        <v>96</v>
      </c>
      <c r="C32" s="36">
        <v>21</v>
      </c>
      <c r="D32" s="36">
        <v>0</v>
      </c>
      <c r="E32" s="36">
        <f t="shared" si="6"/>
        <v>0</v>
      </c>
      <c r="F32" s="36">
        <v>0</v>
      </c>
      <c r="G32" s="36">
        <v>6</v>
      </c>
      <c r="H32" s="36">
        <v>0</v>
      </c>
      <c r="I32" s="36">
        <v>144</v>
      </c>
      <c r="J32" s="3">
        <f t="shared" si="7"/>
        <v>267</v>
      </c>
      <c r="K32" s="198">
        <f t="shared" si="8"/>
        <v>10680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12</v>
      </c>
    </row>
    <row r="33" spans="1:19" ht="16" x14ac:dyDescent="0.2">
      <c r="A33" s="181" t="s">
        <v>44</v>
      </c>
      <c r="B33" s="36">
        <v>144</v>
      </c>
      <c r="C33" s="36">
        <v>0</v>
      </c>
      <c r="D33" s="36">
        <v>48</v>
      </c>
      <c r="E33" s="36">
        <f t="shared" si="6"/>
        <v>60</v>
      </c>
      <c r="F33" s="36">
        <v>108</v>
      </c>
      <c r="G33" s="36">
        <v>0</v>
      </c>
      <c r="H33" s="36">
        <v>0</v>
      </c>
      <c r="I33" s="36">
        <v>144</v>
      </c>
      <c r="J33" s="3">
        <f t="shared" si="7"/>
        <v>504</v>
      </c>
      <c r="K33" s="198">
        <f t="shared" si="8"/>
        <v>20160</v>
      </c>
      <c r="L33" s="3">
        <v>1</v>
      </c>
      <c r="M33" s="3">
        <v>1.5</v>
      </c>
      <c r="N33" s="3">
        <v>0</v>
      </c>
      <c r="O33" s="3">
        <v>0</v>
      </c>
      <c r="P33" s="3">
        <v>0.5</v>
      </c>
      <c r="Q33" s="3">
        <v>1.5</v>
      </c>
      <c r="R33" s="3">
        <v>0.5</v>
      </c>
      <c r="S33" s="3">
        <v>12</v>
      </c>
    </row>
    <row r="34" spans="1:19" ht="16" x14ac:dyDescent="0.2">
      <c r="A34" s="181" t="s">
        <v>126</v>
      </c>
      <c r="B34" s="36">
        <v>0</v>
      </c>
      <c r="C34" s="36">
        <v>6</v>
      </c>
      <c r="D34" s="36">
        <v>132</v>
      </c>
      <c r="E34" s="36">
        <f t="shared" si="6"/>
        <v>0</v>
      </c>
      <c r="F34" s="36">
        <v>0</v>
      </c>
      <c r="G34" s="36">
        <v>0</v>
      </c>
      <c r="H34" s="36">
        <v>0</v>
      </c>
      <c r="I34" s="36">
        <v>78</v>
      </c>
      <c r="J34" s="3">
        <f t="shared" si="7"/>
        <v>216</v>
      </c>
      <c r="K34" s="198">
        <f t="shared" si="8"/>
        <v>8640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12</v>
      </c>
    </row>
    <row r="35" spans="1:19" ht="7.5" customHeight="1" x14ac:dyDescent="0.2">
      <c r="A35" s="189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9"/>
      <c r="M35" s="189"/>
      <c r="N35" s="189"/>
      <c r="O35" s="189"/>
      <c r="P35" s="189"/>
      <c r="Q35" s="189"/>
      <c r="R35" s="189"/>
      <c r="S35" s="189"/>
    </row>
    <row r="36" spans="1:19" ht="16" x14ac:dyDescent="0.2">
      <c r="A36" s="181" t="s">
        <v>127</v>
      </c>
      <c r="B36" s="36">
        <v>6</v>
      </c>
      <c r="C36" s="36">
        <v>74</v>
      </c>
      <c r="D36" s="36">
        <v>11</v>
      </c>
      <c r="E36" s="36">
        <f>(L36+M36+Q36+R36+P36+O36+N36)*S36</f>
        <v>0</v>
      </c>
      <c r="F36" s="36">
        <v>6</v>
      </c>
      <c r="G36" s="36">
        <v>0</v>
      </c>
      <c r="H36" s="36">
        <v>11</v>
      </c>
      <c r="I36" s="36">
        <v>6</v>
      </c>
      <c r="J36" s="3">
        <f>SUM(B36:I36)</f>
        <v>114</v>
      </c>
      <c r="K36" s="198">
        <f t="shared" ref="K36:K41" si="9">J36*40</f>
        <v>4560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11</v>
      </c>
    </row>
    <row r="37" spans="1:19" ht="16" x14ac:dyDescent="0.2">
      <c r="A37" s="181" t="s">
        <v>128</v>
      </c>
      <c r="B37" s="36">
        <v>0</v>
      </c>
      <c r="C37" s="36">
        <v>120</v>
      </c>
      <c r="D37" s="36">
        <v>24</v>
      </c>
      <c r="E37" s="36">
        <f>(L37+M37+Q37+R37+P37+O37+N37)*S37</f>
        <v>0</v>
      </c>
      <c r="F37" s="36">
        <v>24</v>
      </c>
      <c r="G37" s="36">
        <v>0</v>
      </c>
      <c r="H37" s="36">
        <v>24</v>
      </c>
      <c r="I37" s="36">
        <v>78</v>
      </c>
      <c r="J37" s="3">
        <f>SUM(B37:I37)</f>
        <v>270</v>
      </c>
      <c r="K37" s="198">
        <f t="shared" si="9"/>
        <v>10800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24</v>
      </c>
    </row>
    <row r="38" spans="1:19" ht="16" x14ac:dyDescent="0.2">
      <c r="A38" s="181" t="s">
        <v>129</v>
      </c>
      <c r="B38" s="36">
        <v>52</v>
      </c>
      <c r="C38" s="36">
        <v>78</v>
      </c>
      <c r="D38" s="36">
        <v>260</v>
      </c>
      <c r="E38" s="36">
        <f>(L38+M38+Q38+R38+P38+O38+N38)*S38</f>
        <v>52</v>
      </c>
      <c r="F38" s="36">
        <v>73</v>
      </c>
      <c r="G38" s="36">
        <v>0</v>
      </c>
      <c r="H38" s="36">
        <v>39</v>
      </c>
      <c r="I38" s="36">
        <v>104</v>
      </c>
      <c r="J38" s="3">
        <f>SUM(B38:I38)</f>
        <v>658</v>
      </c>
      <c r="K38" s="198">
        <f t="shared" si="9"/>
        <v>26320</v>
      </c>
      <c r="L38" s="3">
        <v>0</v>
      </c>
      <c r="M38" s="3">
        <v>0</v>
      </c>
      <c r="N38" s="3">
        <v>0</v>
      </c>
      <c r="O38" s="3">
        <v>0</v>
      </c>
      <c r="P38" s="3">
        <v>1</v>
      </c>
      <c r="Q38" s="3">
        <v>0</v>
      </c>
      <c r="R38" s="3">
        <v>0</v>
      </c>
      <c r="S38" s="3">
        <v>52</v>
      </c>
    </row>
    <row r="39" spans="1:19" ht="16" x14ac:dyDescent="0.2">
      <c r="A39" s="181" t="s">
        <v>130</v>
      </c>
      <c r="B39" s="36">
        <v>26</v>
      </c>
      <c r="C39" s="36">
        <v>52</v>
      </c>
      <c r="D39" s="36">
        <v>104</v>
      </c>
      <c r="E39" s="36">
        <f>(L39+M39+Q39+R39+P39+O39+N39)*S39</f>
        <v>104</v>
      </c>
      <c r="F39" s="36">
        <v>44</v>
      </c>
      <c r="G39" s="36">
        <v>0</v>
      </c>
      <c r="H39" s="36">
        <v>39</v>
      </c>
      <c r="I39" s="36">
        <v>728</v>
      </c>
      <c r="J39" s="3">
        <f>SUM(B39:I39)</f>
        <v>1097</v>
      </c>
      <c r="K39" s="198">
        <f t="shared" si="9"/>
        <v>43880</v>
      </c>
      <c r="L39" s="3">
        <v>0</v>
      </c>
      <c r="M39" s="3">
        <v>0</v>
      </c>
      <c r="N39" s="3">
        <v>0</v>
      </c>
      <c r="O39" s="3">
        <v>2</v>
      </c>
      <c r="P39" s="3">
        <v>0</v>
      </c>
      <c r="Q39" s="3">
        <v>0</v>
      </c>
      <c r="R39" s="3">
        <v>0</v>
      </c>
      <c r="S39" s="3">
        <v>52</v>
      </c>
    </row>
    <row r="40" spans="1:19" ht="16" x14ac:dyDescent="0.2">
      <c r="A40" s="181" t="s">
        <v>131</v>
      </c>
      <c r="B40" s="36">
        <v>156</v>
      </c>
      <c r="C40" s="36">
        <v>15</v>
      </c>
      <c r="D40" s="36">
        <v>0</v>
      </c>
      <c r="E40" s="36">
        <f>(L40+M40+Q40+R40+P40+O40+N40)*S40</f>
        <v>91</v>
      </c>
      <c r="F40" s="36">
        <v>55</v>
      </c>
      <c r="G40" s="36">
        <v>39</v>
      </c>
      <c r="H40" s="36">
        <f ca="1">H2:H4211</f>
        <v>0</v>
      </c>
      <c r="I40" s="36">
        <v>312</v>
      </c>
      <c r="J40" s="3">
        <f ca="1">SUM(B40:I40)</f>
        <v>668</v>
      </c>
      <c r="K40" s="198">
        <f t="shared" ca="1" si="9"/>
        <v>20480</v>
      </c>
      <c r="L40" s="3">
        <v>0.25</v>
      </c>
      <c r="M40" s="3">
        <v>0.5</v>
      </c>
      <c r="N40" s="3">
        <v>0</v>
      </c>
      <c r="O40" s="3">
        <v>0</v>
      </c>
      <c r="P40" s="3">
        <v>1</v>
      </c>
      <c r="Q40" s="3">
        <v>0</v>
      </c>
      <c r="R40" s="3">
        <v>0</v>
      </c>
      <c r="S40" s="3">
        <v>52</v>
      </c>
    </row>
    <row r="41" spans="1:19" x14ac:dyDescent="0.2">
      <c r="B41" s="178">
        <f>SUM(B2:B40)</f>
        <v>1246</v>
      </c>
      <c r="C41" s="178">
        <f>SUM(C2:C40)</f>
        <v>989</v>
      </c>
      <c r="D41" s="178">
        <f>SUM(D2:D40)</f>
        <v>1766</v>
      </c>
      <c r="E41" s="178">
        <v>1167</v>
      </c>
      <c r="F41" s="178">
        <f>SUM(F2:F40)</f>
        <v>954</v>
      </c>
      <c r="G41" s="178">
        <f>SUM(G2:G40)</f>
        <v>455</v>
      </c>
      <c r="H41" s="203">
        <v>767</v>
      </c>
      <c r="I41" s="178">
        <f>SUM(I2:I40)</f>
        <v>2162</v>
      </c>
      <c r="J41" s="3">
        <f t="shared" ref="J41" si="10">SUM(B41:I41)</f>
        <v>9506</v>
      </c>
      <c r="K41" s="198">
        <f t="shared" si="9"/>
        <v>380240</v>
      </c>
      <c r="N41" s="183">
        <v>0</v>
      </c>
    </row>
  </sheetData>
  <phoneticPr fontId="19" type="noConversion"/>
  <pageMargins left="0.7" right="0.7" top="0.75" bottom="0.75" header="0.3" footer="0.3"/>
  <pageSetup paperSize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E191-1208-4E75-A73F-2A076B8C5FFA}">
  <sheetPr>
    <pageSetUpPr fitToPage="1"/>
  </sheetPr>
  <dimension ref="A1:T44"/>
  <sheetViews>
    <sheetView workbookViewId="0">
      <pane xSplit="1" ySplit="2" topLeftCell="B3" activePane="bottomRight" state="frozen"/>
      <selection pane="topRight" activeCell="R3" sqref="R3"/>
      <selection pane="bottomLeft" activeCell="R3" sqref="R3"/>
      <selection pane="bottomRight" activeCell="R3" sqref="R3"/>
    </sheetView>
  </sheetViews>
  <sheetFormatPr baseColWidth="10" defaultColWidth="8.83203125" defaultRowHeight="15" x14ac:dyDescent="0.2"/>
  <cols>
    <col min="1" max="1" width="45.6640625" customWidth="1"/>
    <col min="2" max="2" width="6.83203125" style="178" customWidth="1"/>
    <col min="3" max="5" width="6.83203125" style="178" hidden="1" customWidth="1"/>
    <col min="6" max="6" width="8.83203125" style="178" hidden="1" customWidth="1"/>
    <col min="7" max="9" width="6.83203125" style="178" hidden="1" customWidth="1"/>
    <col min="10" max="10" width="3.5" customWidth="1"/>
    <col min="11" max="13" width="7.5" customWidth="1"/>
    <col min="14" max="14" width="7.83203125" customWidth="1"/>
    <col min="15" max="15" width="7.6640625" customWidth="1"/>
    <col min="16" max="16" width="6.83203125" customWidth="1"/>
    <col min="17" max="17" width="7.1640625" customWidth="1"/>
    <col min="18" max="18" width="4.83203125" customWidth="1"/>
    <col min="19" max="19" width="4.5" customWidth="1"/>
    <col min="20" max="20" width="6.83203125" style="178" customWidth="1"/>
  </cols>
  <sheetData>
    <row r="1" spans="1:20" x14ac:dyDescent="0.2">
      <c r="K1" s="347"/>
      <c r="L1" s="347"/>
      <c r="M1" s="347"/>
      <c r="N1" s="347"/>
      <c r="O1" s="347"/>
      <c r="P1" s="347"/>
      <c r="Q1" s="347"/>
      <c r="R1" s="347"/>
      <c r="S1" s="347"/>
    </row>
    <row r="2" spans="1:20" s="176" customFormat="1" ht="29.5" customHeight="1" x14ac:dyDescent="0.15">
      <c r="A2" s="179" t="s">
        <v>95</v>
      </c>
      <c r="B2" s="184" t="s">
        <v>132</v>
      </c>
      <c r="C2" s="180"/>
      <c r="D2" s="180"/>
      <c r="E2" s="180"/>
      <c r="F2" s="180"/>
      <c r="G2" s="180"/>
      <c r="H2" s="180"/>
      <c r="I2" s="180"/>
      <c r="J2" s="176" t="s">
        <v>123</v>
      </c>
      <c r="K2" s="184" t="s">
        <v>133</v>
      </c>
      <c r="L2" s="184" t="s">
        <v>134</v>
      </c>
      <c r="M2" s="184" t="s">
        <v>100</v>
      </c>
      <c r="N2" s="184" t="s">
        <v>135</v>
      </c>
      <c r="O2" s="184" t="s">
        <v>102</v>
      </c>
      <c r="P2" s="184" t="s">
        <v>136</v>
      </c>
      <c r="Q2" s="184" t="s">
        <v>137</v>
      </c>
      <c r="R2" s="184" t="s">
        <v>105</v>
      </c>
      <c r="S2" s="184" t="s">
        <v>106</v>
      </c>
      <c r="T2" s="177" t="s">
        <v>107</v>
      </c>
    </row>
    <row r="3" spans="1:20" ht="16" x14ac:dyDescent="0.2">
      <c r="A3" s="181" t="s">
        <v>138</v>
      </c>
      <c r="B3" s="36">
        <f t="shared" ref="B3:B23" si="0">(K3+L3+N3+O3+P3+Q3+M3)*T3</f>
        <v>168</v>
      </c>
      <c r="C3" s="36"/>
      <c r="D3" s="36"/>
      <c r="E3" s="36"/>
      <c r="F3" s="36"/>
      <c r="G3" s="36"/>
      <c r="H3" s="36">
        <f>(T3+V3+W3+X3+Y3+U3)*Z3</f>
        <v>0</v>
      </c>
      <c r="I3" s="36"/>
      <c r="K3" s="3">
        <v>1.5</v>
      </c>
      <c r="L3" s="3">
        <v>0.5</v>
      </c>
      <c r="M3" s="3"/>
      <c r="N3" s="3"/>
      <c r="O3" s="3"/>
      <c r="P3" s="3">
        <v>1.5</v>
      </c>
      <c r="Q3" s="3"/>
      <c r="R3" s="3">
        <v>4</v>
      </c>
      <c r="S3" s="3">
        <v>3</v>
      </c>
      <c r="T3" s="178">
        <v>48</v>
      </c>
    </row>
    <row r="4" spans="1:20" ht="16" x14ac:dyDescent="0.2">
      <c r="A4" s="181" t="s">
        <v>17</v>
      </c>
      <c r="B4" s="36">
        <f t="shared" si="0"/>
        <v>44</v>
      </c>
      <c r="C4" s="36">
        <f>(M4+O4+P4+Q4+T4+N4)*U4</f>
        <v>0</v>
      </c>
      <c r="D4" s="36">
        <f>(N4+P4+Q4+T4+U4+O4)*V4</f>
        <v>0</v>
      </c>
      <c r="E4" s="36">
        <f>(O4+Q4+T4+U4+V4+P4)*W4</f>
        <v>0</v>
      </c>
      <c r="F4" s="36">
        <f>(P4+T4+U4+V4+W4+Q4)*X4</f>
        <v>0</v>
      </c>
      <c r="G4" s="36">
        <f>(Q4+U4+V4+W4+X4+T4)*Y4</f>
        <v>0</v>
      </c>
      <c r="H4" s="36">
        <f>(T4+V4+W4+X4+Y4+U4)*Z4</f>
        <v>0</v>
      </c>
      <c r="I4" s="36">
        <f>(U4+W4+X4+Y4+Z4+V4)*AA4</f>
        <v>0</v>
      </c>
      <c r="K4" s="3">
        <v>4</v>
      </c>
      <c r="L4" s="3">
        <v>3</v>
      </c>
      <c r="M4" s="3"/>
      <c r="N4" s="3">
        <v>15</v>
      </c>
      <c r="O4" s="3">
        <v>6</v>
      </c>
      <c r="P4" s="3">
        <v>13</v>
      </c>
      <c r="Q4" s="3">
        <v>3</v>
      </c>
      <c r="R4" s="3">
        <v>3</v>
      </c>
      <c r="S4" s="3">
        <v>2</v>
      </c>
      <c r="T4" s="151">
        <v>1</v>
      </c>
    </row>
    <row r="5" spans="1:20" ht="16" x14ac:dyDescent="0.2">
      <c r="A5" s="181" t="s">
        <v>9</v>
      </c>
      <c r="B5" s="36">
        <f t="shared" si="0"/>
        <v>20</v>
      </c>
      <c r="C5" s="36">
        <f>(M5+O5+P5+Q5+T5+N5)*U5</f>
        <v>0</v>
      </c>
      <c r="D5" s="36">
        <f>(N5+P5+Q5+T5+U5+O5)*V5</f>
        <v>0</v>
      </c>
      <c r="E5" s="36">
        <f>(O5+Q5+T5+U5+V5+P5)*W5</f>
        <v>0</v>
      </c>
      <c r="F5" s="36">
        <f>(P5+T5+U5+V5+W5+Q5)*X5</f>
        <v>0</v>
      </c>
      <c r="G5" s="36">
        <f>(Q5+U5+V5+W5+X5+T5)*Y5</f>
        <v>0</v>
      </c>
      <c r="H5" s="36">
        <f>(T5+V5+W5+X5+Y5+U5)*Z5</f>
        <v>0</v>
      </c>
      <c r="I5" s="36">
        <f>(U5+W5+X5+Y5+Z5+V5)*AA5</f>
        <v>0</v>
      </c>
      <c r="K5" s="3">
        <v>6</v>
      </c>
      <c r="L5" s="3">
        <v>1</v>
      </c>
      <c r="M5" s="3"/>
      <c r="N5" s="3">
        <v>6</v>
      </c>
      <c r="O5" s="3">
        <v>0.5</v>
      </c>
      <c r="P5" s="3">
        <v>5.5</v>
      </c>
      <c r="Q5" s="3">
        <v>1</v>
      </c>
      <c r="R5" s="3">
        <v>3</v>
      </c>
      <c r="S5" s="3">
        <v>3</v>
      </c>
      <c r="T5" s="151">
        <v>1</v>
      </c>
    </row>
    <row r="6" spans="1:20" ht="16" x14ac:dyDescent="0.2">
      <c r="A6" s="181" t="s">
        <v>20</v>
      </c>
      <c r="B6" s="197">
        <f t="shared" si="0"/>
        <v>0</v>
      </c>
      <c r="C6" s="36">
        <f>(M6+O6+P6+Q6+T6+N6)*U6</f>
        <v>0</v>
      </c>
      <c r="D6" s="36">
        <f>(N6+P6+Q6+T6+U6+O6)*V6</f>
        <v>0</v>
      </c>
      <c r="E6" s="36">
        <f>(O6+Q6+T6+U6+V6+P6)*W6</f>
        <v>0</v>
      </c>
      <c r="F6" s="36">
        <f>(P6+T6+U6+V6+W6+Q6)*X6</f>
        <v>0</v>
      </c>
      <c r="G6" s="36">
        <f>(Q6+U6+V6+W6+X6+T6)*Y6</f>
        <v>0</v>
      </c>
      <c r="H6" s="36">
        <f>(T6+V6+W6+X6+Y6+U6)*Z6</f>
        <v>0</v>
      </c>
      <c r="I6" s="36">
        <f>(U6+W6+X6+Y6+Z6+V6)*AA6</f>
        <v>0</v>
      </c>
      <c r="K6" s="3"/>
      <c r="L6" s="3"/>
      <c r="M6" s="3"/>
      <c r="N6" s="3"/>
      <c r="O6" s="3"/>
      <c r="P6" s="3"/>
      <c r="Q6" s="3"/>
      <c r="R6" s="3"/>
      <c r="S6" s="3"/>
      <c r="T6" s="151">
        <v>1</v>
      </c>
    </row>
    <row r="7" spans="1:20" ht="16" x14ac:dyDescent="0.2">
      <c r="A7" s="181" t="s">
        <v>109</v>
      </c>
      <c r="B7" s="197">
        <f t="shared" si="0"/>
        <v>0</v>
      </c>
      <c r="C7" s="36">
        <f>(M7+O7+P7+Q7+T7+N7)*U7</f>
        <v>0</v>
      </c>
      <c r="D7" s="36">
        <f>(N7+P7+Q7+T7+U7+O7)*V7</f>
        <v>0</v>
      </c>
      <c r="E7" s="36">
        <f>(O7+Q7+T7+U7+V7+P7)*W7</f>
        <v>0</v>
      </c>
      <c r="F7" s="36">
        <f>(P7+T7+U7+V7+W7+Q7)*X7</f>
        <v>0</v>
      </c>
      <c r="G7" s="36">
        <f>(Q7+U7+V7+W7+X7+T7)*Y7</f>
        <v>0</v>
      </c>
      <c r="H7" s="36">
        <f>(T7+V7+W7+X7+Y7+U7)*Z7</f>
        <v>0</v>
      </c>
      <c r="I7" s="36">
        <f>(U7+W7+X7+Y7+Z7+V7)*AA7</f>
        <v>0</v>
      </c>
      <c r="K7" s="3"/>
      <c r="L7" s="3"/>
      <c r="M7" s="3"/>
      <c r="N7" s="3"/>
      <c r="O7" s="3"/>
      <c r="P7" s="3"/>
      <c r="Q7" s="3"/>
      <c r="R7" s="3"/>
      <c r="S7" s="3"/>
      <c r="T7" s="178">
        <v>1</v>
      </c>
    </row>
    <row r="8" spans="1:20" ht="16" x14ac:dyDescent="0.2">
      <c r="A8" s="181" t="s">
        <v>139</v>
      </c>
      <c r="B8" s="36">
        <f t="shared" si="0"/>
        <v>81</v>
      </c>
      <c r="C8" s="36"/>
      <c r="D8" s="36"/>
      <c r="E8" s="36"/>
      <c r="F8" s="36"/>
      <c r="G8" s="36"/>
      <c r="H8" s="36"/>
      <c r="I8" s="36"/>
      <c r="K8" s="3">
        <v>1</v>
      </c>
      <c r="L8" s="3"/>
      <c r="M8" s="3"/>
      <c r="N8" s="3"/>
      <c r="O8" s="3"/>
      <c r="P8" s="3">
        <v>8</v>
      </c>
      <c r="Q8" s="3"/>
      <c r="R8" s="3">
        <v>3</v>
      </c>
      <c r="S8" s="3">
        <v>2</v>
      </c>
      <c r="T8" s="178">
        <v>9</v>
      </c>
    </row>
    <row r="9" spans="1:20" ht="16" x14ac:dyDescent="0.2">
      <c r="A9" s="181" t="s">
        <v>21</v>
      </c>
      <c r="B9" s="36">
        <f t="shared" si="0"/>
        <v>1</v>
      </c>
      <c r="C9" s="36">
        <f t="shared" ref="C9:C23" si="1">(M9+O9+P9+Q9+T9+N9)*U9</f>
        <v>0</v>
      </c>
      <c r="D9" s="36">
        <f t="shared" ref="D9:D23" si="2">(N9+P9+Q9+T9+U9+O9)*V9</f>
        <v>0</v>
      </c>
      <c r="E9" s="36">
        <f t="shared" ref="E9:E23" si="3">(O9+Q9+T9+U9+V9+P9)*W9</f>
        <v>0</v>
      </c>
      <c r="F9" s="36">
        <f t="shared" ref="F9:F23" si="4">(P9+T9+U9+V9+W9+Q9)*X9</f>
        <v>0</v>
      </c>
      <c r="G9" s="36">
        <f t="shared" ref="G9:G23" si="5">(Q9+U9+V9+W9+X9+T9)*Y9</f>
        <v>0</v>
      </c>
      <c r="H9" s="36">
        <f t="shared" ref="H9:I15" si="6">(T9+V9+W9+X9+Y9+U9)*Z9</f>
        <v>0</v>
      </c>
      <c r="I9" s="36">
        <f t="shared" si="6"/>
        <v>0</v>
      </c>
      <c r="K9" s="3"/>
      <c r="L9" s="3"/>
      <c r="M9" s="3"/>
      <c r="N9" s="3"/>
      <c r="O9" s="3">
        <v>1</v>
      </c>
      <c r="P9" s="3"/>
      <c r="Q9" s="3"/>
      <c r="R9" s="3">
        <v>4</v>
      </c>
      <c r="S9" s="3">
        <v>4</v>
      </c>
      <c r="T9" s="178">
        <v>1</v>
      </c>
    </row>
    <row r="10" spans="1:20" ht="16" x14ac:dyDescent="0.2">
      <c r="A10" s="181" t="s">
        <v>25</v>
      </c>
      <c r="B10" s="197">
        <f t="shared" si="0"/>
        <v>0</v>
      </c>
      <c r="C10" s="36">
        <f t="shared" si="1"/>
        <v>0</v>
      </c>
      <c r="D10" s="36">
        <f t="shared" si="2"/>
        <v>0</v>
      </c>
      <c r="E10" s="36">
        <f t="shared" si="3"/>
        <v>0</v>
      </c>
      <c r="F10" s="36">
        <f t="shared" si="4"/>
        <v>0</v>
      </c>
      <c r="G10" s="36">
        <f t="shared" si="5"/>
        <v>0</v>
      </c>
      <c r="H10" s="36">
        <f t="shared" si="6"/>
        <v>0</v>
      </c>
      <c r="I10" s="36">
        <f t="shared" si="6"/>
        <v>0</v>
      </c>
      <c r="K10" s="3"/>
      <c r="L10" s="3"/>
      <c r="M10" s="3"/>
      <c r="N10" s="3"/>
      <c r="O10" s="3"/>
      <c r="P10" s="3"/>
      <c r="Q10" s="3"/>
      <c r="R10" s="3"/>
      <c r="S10" s="3"/>
      <c r="T10" s="178">
        <v>1</v>
      </c>
    </row>
    <row r="11" spans="1:20" ht="16" x14ac:dyDescent="0.2">
      <c r="A11" s="181" t="s">
        <v>27</v>
      </c>
      <c r="B11" s="197">
        <f t="shared" si="0"/>
        <v>0</v>
      </c>
      <c r="C11" s="36">
        <f t="shared" si="1"/>
        <v>0</v>
      </c>
      <c r="D11" s="36">
        <f t="shared" si="2"/>
        <v>0</v>
      </c>
      <c r="E11" s="36">
        <f t="shared" si="3"/>
        <v>0</v>
      </c>
      <c r="F11" s="36">
        <f t="shared" si="4"/>
        <v>0</v>
      </c>
      <c r="G11" s="36">
        <f t="shared" si="5"/>
        <v>0</v>
      </c>
      <c r="H11" s="36">
        <f t="shared" si="6"/>
        <v>0</v>
      </c>
      <c r="I11" s="36">
        <f t="shared" si="6"/>
        <v>0</v>
      </c>
      <c r="K11" s="3"/>
      <c r="L11" s="3"/>
      <c r="M11" s="3"/>
      <c r="N11" s="3"/>
      <c r="O11" s="3"/>
      <c r="P11" s="3"/>
      <c r="Q11" s="3"/>
      <c r="R11" s="3"/>
      <c r="S11" s="3"/>
      <c r="T11" s="178">
        <v>1</v>
      </c>
    </row>
    <row r="12" spans="1:20" ht="16" x14ac:dyDescent="0.2">
      <c r="A12" s="181" t="s">
        <v>28</v>
      </c>
      <c r="B12" s="197">
        <f t="shared" si="0"/>
        <v>0</v>
      </c>
      <c r="C12" s="36">
        <f t="shared" si="1"/>
        <v>0</v>
      </c>
      <c r="D12" s="36">
        <f t="shared" si="2"/>
        <v>0</v>
      </c>
      <c r="E12" s="36">
        <f t="shared" si="3"/>
        <v>0</v>
      </c>
      <c r="F12" s="36">
        <f t="shared" si="4"/>
        <v>0</v>
      </c>
      <c r="G12" s="36">
        <f t="shared" si="5"/>
        <v>0</v>
      </c>
      <c r="H12" s="36">
        <f t="shared" si="6"/>
        <v>0</v>
      </c>
      <c r="I12" s="36">
        <f t="shared" si="6"/>
        <v>0</v>
      </c>
      <c r="K12" s="3"/>
      <c r="L12" s="3"/>
      <c r="M12" s="3"/>
      <c r="N12" s="3"/>
      <c r="O12" s="3"/>
      <c r="P12" s="3"/>
      <c r="Q12" s="3"/>
      <c r="R12" s="3"/>
      <c r="S12" s="3"/>
      <c r="T12" s="178">
        <v>1</v>
      </c>
    </row>
    <row r="13" spans="1:20" ht="16" x14ac:dyDescent="0.2">
      <c r="A13" s="181" t="s">
        <v>47</v>
      </c>
      <c r="B13" s="197">
        <f t="shared" si="0"/>
        <v>0</v>
      </c>
      <c r="C13" s="36">
        <f t="shared" si="1"/>
        <v>0</v>
      </c>
      <c r="D13" s="36">
        <f t="shared" si="2"/>
        <v>0</v>
      </c>
      <c r="E13" s="36">
        <f t="shared" si="3"/>
        <v>0</v>
      </c>
      <c r="F13" s="36">
        <f t="shared" si="4"/>
        <v>0</v>
      </c>
      <c r="G13" s="36">
        <f t="shared" si="5"/>
        <v>0</v>
      </c>
      <c r="H13" s="36">
        <f t="shared" si="6"/>
        <v>0</v>
      </c>
      <c r="I13" s="36">
        <f t="shared" si="6"/>
        <v>0</v>
      </c>
      <c r="K13" s="3"/>
      <c r="L13" s="3"/>
      <c r="M13" s="3"/>
      <c r="N13" s="3"/>
      <c r="O13" s="3"/>
      <c r="P13" s="3"/>
      <c r="Q13" s="3"/>
      <c r="R13" s="3"/>
      <c r="S13" s="3"/>
      <c r="T13" s="178">
        <v>1</v>
      </c>
    </row>
    <row r="14" spans="1:20" ht="16" x14ac:dyDescent="0.2">
      <c r="A14" s="181" t="s">
        <v>12</v>
      </c>
      <c r="B14" s="36">
        <f t="shared" si="0"/>
        <v>33</v>
      </c>
      <c r="C14" s="36">
        <f t="shared" si="1"/>
        <v>0</v>
      </c>
      <c r="D14" s="36">
        <f t="shared" si="2"/>
        <v>0</v>
      </c>
      <c r="E14" s="36">
        <f t="shared" si="3"/>
        <v>0</v>
      </c>
      <c r="F14" s="36">
        <f t="shared" si="4"/>
        <v>0</v>
      </c>
      <c r="G14" s="36">
        <f t="shared" si="5"/>
        <v>0</v>
      </c>
      <c r="H14" s="36">
        <f t="shared" si="6"/>
        <v>0</v>
      </c>
      <c r="I14" s="36">
        <f t="shared" si="6"/>
        <v>0</v>
      </c>
      <c r="K14" s="3">
        <v>5</v>
      </c>
      <c r="L14" s="3">
        <v>5</v>
      </c>
      <c r="M14" s="3"/>
      <c r="N14" s="3">
        <v>4</v>
      </c>
      <c r="O14" s="3">
        <v>4</v>
      </c>
      <c r="P14" s="3">
        <v>10</v>
      </c>
      <c r="Q14" s="3">
        <v>5</v>
      </c>
      <c r="R14" s="3">
        <v>3</v>
      </c>
      <c r="S14" s="3">
        <v>2</v>
      </c>
      <c r="T14" s="178">
        <v>1</v>
      </c>
    </row>
    <row r="15" spans="1:20" ht="16" x14ac:dyDescent="0.2">
      <c r="A15" s="181" t="s">
        <v>110</v>
      </c>
      <c r="B15" s="36">
        <f t="shared" si="0"/>
        <v>28</v>
      </c>
      <c r="C15" s="36">
        <f t="shared" si="1"/>
        <v>0</v>
      </c>
      <c r="D15" s="36">
        <f t="shared" si="2"/>
        <v>0</v>
      </c>
      <c r="E15" s="36">
        <f t="shared" si="3"/>
        <v>0</v>
      </c>
      <c r="F15" s="36">
        <f t="shared" si="4"/>
        <v>0</v>
      </c>
      <c r="G15" s="36">
        <f t="shared" si="5"/>
        <v>0</v>
      </c>
      <c r="H15" s="36">
        <f t="shared" si="6"/>
        <v>0</v>
      </c>
      <c r="I15" s="36">
        <f t="shared" si="6"/>
        <v>0</v>
      </c>
      <c r="K15" s="3">
        <v>6</v>
      </c>
      <c r="L15" s="3">
        <v>3</v>
      </c>
      <c r="M15" s="3">
        <v>6</v>
      </c>
      <c r="N15" s="3">
        <v>6</v>
      </c>
      <c r="O15" s="3">
        <v>2</v>
      </c>
      <c r="P15" s="3">
        <v>4</v>
      </c>
      <c r="Q15" s="3">
        <v>1</v>
      </c>
      <c r="R15" s="3">
        <v>3</v>
      </c>
      <c r="S15" s="3">
        <v>3</v>
      </c>
      <c r="T15" s="178">
        <v>1</v>
      </c>
    </row>
    <row r="16" spans="1:20" ht="16" x14ac:dyDescent="0.2">
      <c r="A16" s="181" t="s">
        <v>111</v>
      </c>
      <c r="B16" s="36">
        <f t="shared" si="0"/>
        <v>0</v>
      </c>
      <c r="C16" s="36">
        <f t="shared" si="1"/>
        <v>0</v>
      </c>
      <c r="D16" s="36">
        <f t="shared" si="2"/>
        <v>0</v>
      </c>
      <c r="E16" s="36">
        <f t="shared" si="3"/>
        <v>0</v>
      </c>
      <c r="F16" s="36">
        <f t="shared" si="4"/>
        <v>0</v>
      </c>
      <c r="G16" s="36">
        <f t="shared" si="5"/>
        <v>0</v>
      </c>
      <c r="H16" s="36">
        <f t="shared" ref="H16:H23" si="7">(T16+V16+W16+X16+Y16+U16)*Z16</f>
        <v>0</v>
      </c>
      <c r="I16" s="36"/>
      <c r="K16" s="3"/>
      <c r="L16" s="3"/>
      <c r="M16" s="3"/>
      <c r="N16" s="3"/>
      <c r="O16" s="3"/>
      <c r="P16" s="3"/>
      <c r="Q16" s="3"/>
      <c r="R16" s="3"/>
      <c r="S16" s="3"/>
      <c r="T16" s="178">
        <v>1</v>
      </c>
    </row>
    <row r="17" spans="1:20" ht="16" x14ac:dyDescent="0.2">
      <c r="A17" s="181" t="s">
        <v>49</v>
      </c>
      <c r="B17" s="36">
        <f t="shared" si="0"/>
        <v>2</v>
      </c>
      <c r="C17" s="36">
        <f t="shared" si="1"/>
        <v>0</v>
      </c>
      <c r="D17" s="36">
        <f t="shared" si="2"/>
        <v>0</v>
      </c>
      <c r="E17" s="36">
        <f t="shared" si="3"/>
        <v>0</v>
      </c>
      <c r="F17" s="36">
        <f t="shared" si="4"/>
        <v>0</v>
      </c>
      <c r="G17" s="36">
        <f t="shared" si="5"/>
        <v>0</v>
      </c>
      <c r="H17" s="36">
        <f t="shared" si="7"/>
        <v>0</v>
      </c>
      <c r="I17" s="36">
        <f t="shared" ref="I17:I23" si="8">(U17+W17+X17+Y17+Z17+V17)*AA17</f>
        <v>0</v>
      </c>
      <c r="K17" s="3">
        <v>1</v>
      </c>
      <c r="L17" s="3"/>
      <c r="M17" s="3"/>
      <c r="N17" s="3"/>
      <c r="O17" s="3"/>
      <c r="P17" s="3"/>
      <c r="Q17" s="3"/>
      <c r="R17" s="3"/>
      <c r="S17" s="3"/>
      <c r="T17" s="151">
        <v>2</v>
      </c>
    </row>
    <row r="18" spans="1:20" ht="16" x14ac:dyDescent="0.2">
      <c r="A18" s="181" t="s">
        <v>30</v>
      </c>
      <c r="B18" s="36">
        <f t="shared" si="0"/>
        <v>36</v>
      </c>
      <c r="C18" s="36">
        <f t="shared" si="1"/>
        <v>0</v>
      </c>
      <c r="D18" s="36">
        <f t="shared" si="2"/>
        <v>0</v>
      </c>
      <c r="E18" s="36">
        <f t="shared" si="3"/>
        <v>0</v>
      </c>
      <c r="F18" s="36">
        <f t="shared" si="4"/>
        <v>0</v>
      </c>
      <c r="G18" s="36">
        <f t="shared" si="5"/>
        <v>0</v>
      </c>
      <c r="H18" s="36">
        <f t="shared" si="7"/>
        <v>0</v>
      </c>
      <c r="I18" s="36">
        <f t="shared" si="8"/>
        <v>0</v>
      </c>
      <c r="K18" s="3"/>
      <c r="L18" s="3"/>
      <c r="M18" s="3"/>
      <c r="N18" s="3"/>
      <c r="O18" s="3">
        <v>2</v>
      </c>
      <c r="P18" s="3">
        <v>3</v>
      </c>
      <c r="Q18" s="3">
        <v>1</v>
      </c>
      <c r="R18" s="3">
        <v>4</v>
      </c>
      <c r="S18" s="3">
        <v>3</v>
      </c>
      <c r="T18" s="178">
        <v>6</v>
      </c>
    </row>
    <row r="19" spans="1:20" ht="16" hidden="1" x14ac:dyDescent="0.2">
      <c r="A19" s="182" t="s">
        <v>40</v>
      </c>
      <c r="B19" s="36">
        <f t="shared" si="0"/>
        <v>0</v>
      </c>
      <c r="C19" s="36">
        <f t="shared" si="1"/>
        <v>0</v>
      </c>
      <c r="D19" s="36">
        <f t="shared" si="2"/>
        <v>0</v>
      </c>
      <c r="E19" s="36">
        <f t="shared" si="3"/>
        <v>0</v>
      </c>
      <c r="F19" s="36">
        <f t="shared" si="4"/>
        <v>0</v>
      </c>
      <c r="G19" s="36">
        <f t="shared" si="5"/>
        <v>0</v>
      </c>
      <c r="H19" s="36">
        <f t="shared" si="7"/>
        <v>0</v>
      </c>
      <c r="I19" s="36">
        <f t="shared" si="8"/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 spans="1:20" ht="16" hidden="1" x14ac:dyDescent="0.2">
      <c r="A20" s="182" t="s">
        <v>42</v>
      </c>
      <c r="B20" s="36">
        <f t="shared" si="0"/>
        <v>0</v>
      </c>
      <c r="C20" s="36">
        <f t="shared" si="1"/>
        <v>0</v>
      </c>
      <c r="D20" s="36">
        <f t="shared" si="2"/>
        <v>0</v>
      </c>
      <c r="E20" s="36">
        <f t="shared" si="3"/>
        <v>0</v>
      </c>
      <c r="F20" s="36">
        <f t="shared" si="4"/>
        <v>0</v>
      </c>
      <c r="G20" s="36">
        <f t="shared" si="5"/>
        <v>0</v>
      </c>
      <c r="H20" s="36">
        <f t="shared" si="7"/>
        <v>0</v>
      </c>
      <c r="I20" s="36">
        <f t="shared" si="8"/>
        <v>0</v>
      </c>
      <c r="K20" s="3"/>
      <c r="L20" s="3"/>
      <c r="M20" s="3"/>
      <c r="N20" s="3"/>
      <c r="O20" s="3"/>
      <c r="P20" s="3"/>
      <c r="Q20" s="3"/>
      <c r="R20" s="3"/>
      <c r="S20" s="3"/>
    </row>
    <row r="21" spans="1:20" ht="16" hidden="1" x14ac:dyDescent="0.2">
      <c r="A21" s="182" t="s">
        <v>43</v>
      </c>
      <c r="B21" s="36">
        <f t="shared" si="0"/>
        <v>0</v>
      </c>
      <c r="C21" s="36">
        <f t="shared" si="1"/>
        <v>0</v>
      </c>
      <c r="D21" s="36">
        <f t="shared" si="2"/>
        <v>0</v>
      </c>
      <c r="E21" s="36">
        <f t="shared" si="3"/>
        <v>0</v>
      </c>
      <c r="F21" s="36">
        <f t="shared" si="4"/>
        <v>0</v>
      </c>
      <c r="G21" s="36">
        <f t="shared" si="5"/>
        <v>0</v>
      </c>
      <c r="H21" s="36">
        <f t="shared" si="7"/>
        <v>0</v>
      </c>
      <c r="I21" s="36">
        <f t="shared" si="8"/>
        <v>0</v>
      </c>
      <c r="K21" s="3"/>
      <c r="L21" s="3"/>
      <c r="M21" s="3"/>
      <c r="N21" s="3"/>
      <c r="O21" s="3"/>
      <c r="P21" s="3"/>
      <c r="Q21" s="3"/>
      <c r="R21" s="3"/>
      <c r="S21" s="3"/>
    </row>
    <row r="22" spans="1:20" ht="16" x14ac:dyDescent="0.2">
      <c r="A22" s="181" t="s">
        <v>140</v>
      </c>
      <c r="B22" s="36">
        <f t="shared" si="0"/>
        <v>40</v>
      </c>
      <c r="C22" s="36">
        <f t="shared" si="1"/>
        <v>0</v>
      </c>
      <c r="D22" s="36">
        <f t="shared" si="2"/>
        <v>0</v>
      </c>
      <c r="E22" s="36">
        <f t="shared" si="3"/>
        <v>0</v>
      </c>
      <c r="F22" s="36">
        <f t="shared" si="4"/>
        <v>0</v>
      </c>
      <c r="G22" s="36">
        <f t="shared" si="5"/>
        <v>0</v>
      </c>
      <c r="H22" s="36">
        <f t="shared" si="7"/>
        <v>0</v>
      </c>
      <c r="I22" s="36">
        <f t="shared" si="8"/>
        <v>0</v>
      </c>
      <c r="K22" s="3">
        <v>1</v>
      </c>
      <c r="L22" s="3">
        <v>1</v>
      </c>
      <c r="M22" s="3"/>
      <c r="N22" s="3">
        <v>2</v>
      </c>
      <c r="O22" s="3">
        <v>2</v>
      </c>
      <c r="P22" s="3">
        <v>3</v>
      </c>
      <c r="Q22" s="3">
        <v>1</v>
      </c>
      <c r="R22" s="3">
        <v>4</v>
      </c>
      <c r="S22" s="3">
        <v>3</v>
      </c>
      <c r="T22" s="151">
        <v>4</v>
      </c>
    </row>
    <row r="23" spans="1:20" ht="16" x14ac:dyDescent="0.2">
      <c r="A23" s="181" t="s">
        <v>41</v>
      </c>
      <c r="B23" s="197">
        <f t="shared" si="0"/>
        <v>0</v>
      </c>
      <c r="C23" s="36">
        <f t="shared" si="1"/>
        <v>0</v>
      </c>
      <c r="D23" s="36">
        <f t="shared" si="2"/>
        <v>0</v>
      </c>
      <c r="E23" s="36">
        <f t="shared" si="3"/>
        <v>0</v>
      </c>
      <c r="F23" s="36">
        <f t="shared" si="4"/>
        <v>0</v>
      </c>
      <c r="G23" s="36">
        <f t="shared" si="5"/>
        <v>0</v>
      </c>
      <c r="H23" s="36">
        <f t="shared" si="7"/>
        <v>0</v>
      </c>
      <c r="I23" s="36">
        <f t="shared" si="8"/>
        <v>0</v>
      </c>
      <c r="K23" s="3"/>
      <c r="L23" s="3"/>
      <c r="M23" s="3"/>
      <c r="N23" s="3"/>
      <c r="O23" s="3"/>
      <c r="P23" s="3"/>
      <c r="Q23" s="3"/>
      <c r="R23" s="3"/>
      <c r="S23" s="3"/>
      <c r="T23" s="151">
        <v>1</v>
      </c>
    </row>
    <row r="24" spans="1:20" ht="9" customHeight="1" x14ac:dyDescent="0.2">
      <c r="A24" s="196"/>
      <c r="B24" s="195"/>
      <c r="C24" s="195"/>
      <c r="D24" s="195"/>
      <c r="E24" s="195"/>
      <c r="F24" s="195"/>
      <c r="G24" s="195"/>
      <c r="H24" s="195"/>
      <c r="I24" s="195"/>
      <c r="J24" s="194"/>
      <c r="K24" s="193"/>
      <c r="L24" s="193"/>
      <c r="M24" s="193"/>
      <c r="N24" s="193"/>
      <c r="O24" s="193"/>
      <c r="P24" s="193"/>
      <c r="Q24" s="193"/>
      <c r="R24" s="193"/>
      <c r="S24" s="193"/>
      <c r="T24" s="192"/>
    </row>
    <row r="25" spans="1:20" ht="16" x14ac:dyDescent="0.2">
      <c r="A25" s="181" t="s">
        <v>141</v>
      </c>
      <c r="B25" s="36">
        <f>(K25+L25+N25+O25+P25+Q25+M25)*T25</f>
        <v>0</v>
      </c>
      <c r="C25" s="36"/>
      <c r="D25" s="36"/>
      <c r="E25" s="36"/>
      <c r="F25" s="36"/>
      <c r="G25" s="36"/>
      <c r="H25" s="36"/>
      <c r="I25" s="36"/>
      <c r="K25" s="3"/>
      <c r="L25" s="3"/>
      <c r="M25" s="3"/>
      <c r="N25" s="3"/>
      <c r="O25" s="3"/>
      <c r="P25" s="3"/>
      <c r="Q25" s="3"/>
      <c r="R25" s="3"/>
      <c r="S25" s="3"/>
      <c r="T25" s="178">
        <v>12</v>
      </c>
    </row>
    <row r="26" spans="1:20" ht="16" x14ac:dyDescent="0.2">
      <c r="A26" s="181" t="s">
        <v>142</v>
      </c>
      <c r="B26" s="36">
        <f>(K26+L26+N26+O26+P26+Q26+M26)*T26</f>
        <v>0</v>
      </c>
      <c r="C26" s="36"/>
      <c r="D26" s="36"/>
      <c r="E26" s="36"/>
      <c r="F26" s="36"/>
      <c r="G26" s="36"/>
      <c r="H26" s="36"/>
      <c r="I26" s="36"/>
      <c r="K26" s="3"/>
      <c r="L26" s="3"/>
      <c r="M26" s="3"/>
      <c r="N26" s="3"/>
      <c r="O26" s="3"/>
      <c r="P26" s="3"/>
      <c r="Q26" s="3"/>
      <c r="R26" s="3"/>
      <c r="S26" s="3"/>
      <c r="T26" s="178">
        <v>12</v>
      </c>
    </row>
    <row r="27" spans="1:20" ht="16" x14ac:dyDescent="0.2">
      <c r="A27" s="181" t="s">
        <v>143</v>
      </c>
      <c r="B27" s="36">
        <f>(K27+L27+N27+O27+P27+Q27+M27)*T27</f>
        <v>0</v>
      </c>
      <c r="C27" s="36"/>
      <c r="D27" s="36"/>
      <c r="E27" s="36"/>
      <c r="F27" s="36"/>
      <c r="G27" s="36"/>
      <c r="H27" s="36"/>
      <c r="I27" s="36"/>
      <c r="K27" s="3"/>
      <c r="L27" s="3"/>
      <c r="M27" s="3"/>
      <c r="N27" s="3"/>
      <c r="O27" s="3"/>
      <c r="P27" s="3"/>
      <c r="Q27" s="3"/>
      <c r="R27" s="3"/>
      <c r="S27" s="3"/>
      <c r="T27" s="178">
        <v>12</v>
      </c>
    </row>
    <row r="28" spans="1:20" ht="16" x14ac:dyDescent="0.2">
      <c r="A28" s="181" t="s">
        <v>144</v>
      </c>
      <c r="B28" s="36">
        <f>(K28+L28+N28+O28+P28+Q28+M28)*T28</f>
        <v>36</v>
      </c>
      <c r="C28" s="36"/>
      <c r="D28" s="36"/>
      <c r="E28" s="36"/>
      <c r="F28" s="36"/>
      <c r="G28" s="36"/>
      <c r="H28" s="36"/>
      <c r="I28" s="36"/>
      <c r="K28" s="3">
        <v>0.5</v>
      </c>
      <c r="L28" s="3"/>
      <c r="M28" s="3"/>
      <c r="N28" s="3">
        <v>0.5</v>
      </c>
      <c r="O28" s="3"/>
      <c r="P28" s="3">
        <v>2</v>
      </c>
      <c r="Q28" s="3"/>
      <c r="R28" s="3">
        <v>4</v>
      </c>
      <c r="S28" s="3">
        <v>4</v>
      </c>
      <c r="T28" s="178">
        <v>12</v>
      </c>
    </row>
    <row r="29" spans="1:20" ht="16" x14ac:dyDescent="0.2">
      <c r="A29" s="181" t="s">
        <v>145</v>
      </c>
      <c r="B29" s="36">
        <f>(K29+L29+N29+O29+P29+Q29+M29)*T29</f>
        <v>9</v>
      </c>
      <c r="C29" s="36"/>
      <c r="D29" s="36"/>
      <c r="E29" s="36"/>
      <c r="F29" s="36"/>
      <c r="G29" s="36"/>
      <c r="H29" s="36"/>
      <c r="I29" s="36"/>
      <c r="K29" s="3">
        <v>0.5</v>
      </c>
      <c r="L29" s="3"/>
      <c r="M29" s="3"/>
      <c r="N29" s="3">
        <v>0.25</v>
      </c>
      <c r="O29" s="3"/>
      <c r="P29" s="3"/>
      <c r="Q29" s="3"/>
      <c r="R29" s="3"/>
      <c r="S29" s="3"/>
      <c r="T29" s="178">
        <v>12</v>
      </c>
    </row>
    <row r="30" spans="1:20" ht="6.75" customHeight="1" x14ac:dyDescent="0.2">
      <c r="A30" s="196"/>
      <c r="B30" s="195"/>
      <c r="C30" s="195"/>
      <c r="D30" s="195"/>
      <c r="E30" s="195"/>
      <c r="F30" s="195"/>
      <c r="G30" s="195"/>
      <c r="H30" s="195"/>
      <c r="I30" s="195"/>
      <c r="J30" s="194"/>
      <c r="K30" s="193"/>
      <c r="L30" s="193"/>
      <c r="M30" s="193"/>
      <c r="N30" s="193"/>
      <c r="O30" s="193"/>
      <c r="P30" s="193"/>
      <c r="Q30" s="193"/>
      <c r="R30" s="193"/>
      <c r="S30" s="193"/>
      <c r="T30" s="192"/>
    </row>
    <row r="31" spans="1:20" ht="16" x14ac:dyDescent="0.2">
      <c r="A31" s="181" t="s">
        <v>146</v>
      </c>
      <c r="B31" s="36">
        <f t="shared" ref="B31:B37" si="9">(K31+L31+N31+O31+P31+Q31+M31)*T31</f>
        <v>66</v>
      </c>
      <c r="C31" s="36">
        <f>(M31+O31+P31+Q31+T31+N31)*U31</f>
        <v>0</v>
      </c>
      <c r="D31" s="36">
        <f>(N31+P31+Q31+T31+U31+O31)*V31</f>
        <v>0</v>
      </c>
      <c r="E31" s="36">
        <f>(O31+Q31+T31+U31+V31+P31)*W31</f>
        <v>0</v>
      </c>
      <c r="F31" s="36">
        <f>(P31+T31+U31+V31+W31+Q31)*X31</f>
        <v>0</v>
      </c>
      <c r="G31" s="36">
        <f>(Q31+U31+V31+W31+X31+T31)*Y31</f>
        <v>0</v>
      </c>
      <c r="H31" s="36">
        <f>(T31+V31+W31+X31+Y31+U31)*Z31</f>
        <v>0</v>
      </c>
      <c r="I31" s="36">
        <f>(U31+W31+X31+Y31+Z31+V31)*AA31</f>
        <v>0</v>
      </c>
      <c r="K31" s="3">
        <v>1</v>
      </c>
      <c r="L31" s="3"/>
      <c r="M31" s="3"/>
      <c r="N31" s="3">
        <v>1</v>
      </c>
      <c r="O31" s="3">
        <v>1</v>
      </c>
      <c r="P31" s="3">
        <v>2</v>
      </c>
      <c r="Q31" s="3">
        <v>0.5</v>
      </c>
      <c r="R31" s="3">
        <v>4</v>
      </c>
      <c r="S31" s="3">
        <v>4</v>
      </c>
      <c r="T31" s="151">
        <v>12</v>
      </c>
    </row>
    <row r="32" spans="1:20" ht="16" x14ac:dyDescent="0.2">
      <c r="A32" s="181" t="s">
        <v>147</v>
      </c>
      <c r="B32" s="36">
        <f t="shared" si="9"/>
        <v>30</v>
      </c>
      <c r="C32" s="36"/>
      <c r="D32" s="36"/>
      <c r="E32" s="36"/>
      <c r="F32" s="36"/>
      <c r="G32" s="36"/>
      <c r="H32" s="36"/>
      <c r="I32" s="36"/>
      <c r="K32" s="3">
        <v>0.5</v>
      </c>
      <c r="L32" s="3"/>
      <c r="M32" s="3"/>
      <c r="N32" s="3">
        <v>1</v>
      </c>
      <c r="O32" s="3"/>
      <c r="P32" s="3"/>
      <c r="Q32" s="3">
        <v>1</v>
      </c>
      <c r="R32" s="3">
        <v>4</v>
      </c>
      <c r="S32" s="3">
        <v>4</v>
      </c>
      <c r="T32" s="151">
        <v>12</v>
      </c>
    </row>
    <row r="33" spans="1:20" ht="16" x14ac:dyDescent="0.2">
      <c r="A33" s="181" t="s">
        <v>148</v>
      </c>
      <c r="B33" s="36">
        <f t="shared" si="9"/>
        <v>0</v>
      </c>
      <c r="C33" s="36">
        <f>(M33+O33+P33+Q33+T33+N33)*U33</f>
        <v>0</v>
      </c>
      <c r="D33" s="36">
        <f>(N33+P33+Q33+T33+U33+O33)*V33</f>
        <v>0</v>
      </c>
      <c r="E33" s="36">
        <f>(O33+Q33+T33+U33+V33+P33)*W33</f>
        <v>0</v>
      </c>
      <c r="F33" s="36">
        <f>(P33+T33+U33+V33+W33+Q33)*X33</f>
        <v>0</v>
      </c>
      <c r="G33" s="36">
        <f>(Q33+U33+V33+W33+X33+T33)*Y33</f>
        <v>0</v>
      </c>
      <c r="H33" s="36">
        <f>(T33+V33+W33+X33+Y33+U33)*Z33</f>
        <v>0</v>
      </c>
      <c r="I33" s="36">
        <f>(U33+W33+X33+Y33+Z33+V33)*AA33</f>
        <v>0</v>
      </c>
      <c r="K33" s="3"/>
      <c r="L33" s="3"/>
      <c r="M33" s="3"/>
      <c r="N33" s="3"/>
      <c r="O33" s="3"/>
      <c r="P33" s="3"/>
      <c r="Q33" s="3"/>
      <c r="R33" s="3"/>
      <c r="S33" s="3"/>
      <c r="T33" s="178">
        <v>12</v>
      </c>
    </row>
    <row r="34" spans="1:20" ht="16" x14ac:dyDescent="0.2">
      <c r="A34" s="181" t="s">
        <v>149</v>
      </c>
      <c r="B34" s="36">
        <f t="shared" si="9"/>
        <v>0</v>
      </c>
      <c r="C34" s="36">
        <f>(M34+O34+P34+Q34+T34+N34)*U34</f>
        <v>0</v>
      </c>
      <c r="D34" s="36">
        <f>(N34+P34+Q34+T34+U34+O34)*V34</f>
        <v>0</v>
      </c>
      <c r="E34" s="36">
        <f>(O34+Q34+T34+U34+V34+P34)*W34</f>
        <v>0</v>
      </c>
      <c r="F34" s="36">
        <f>(P34+T34+U34+V34+W34+Q34)*X34</f>
        <v>0</v>
      </c>
      <c r="G34" s="36">
        <f>(Q34+U34+V34+W34+X34+T34)*Y34</f>
        <v>0</v>
      </c>
      <c r="H34" s="36">
        <f>(T34+V34+W34+X34+Y34+U34)*Z34</f>
        <v>0</v>
      </c>
      <c r="I34" s="36">
        <f>(U34+W34+X34+Y34+Z34+V34)*AA34</f>
        <v>0</v>
      </c>
      <c r="K34" s="3"/>
      <c r="L34" s="3"/>
      <c r="M34" s="3"/>
      <c r="N34" s="3"/>
      <c r="O34" s="3"/>
      <c r="P34" s="3"/>
      <c r="Q34" s="3"/>
      <c r="R34" s="3"/>
      <c r="S34" s="3"/>
      <c r="T34" s="178">
        <v>12</v>
      </c>
    </row>
    <row r="35" spans="1:20" ht="16" x14ac:dyDescent="0.2">
      <c r="A35" s="181" t="s">
        <v>150</v>
      </c>
      <c r="B35" s="36">
        <f t="shared" si="9"/>
        <v>144</v>
      </c>
      <c r="C35" s="36">
        <f>(M35+O35+P35+Q35+T35+N35)*U35</f>
        <v>0</v>
      </c>
      <c r="D35" s="36">
        <f>(N35+P35+Q35+T35+U35+O35)*V35</f>
        <v>0</v>
      </c>
      <c r="E35" s="36">
        <f>(O35+Q35+T35+U35+V35+P35)*W35</f>
        <v>0</v>
      </c>
      <c r="F35" s="36">
        <f>(P35+T35+U35+V35+W35+Q35)*X35</f>
        <v>0</v>
      </c>
      <c r="G35" s="36">
        <f>(Q35+U35+V35+W35+X35+T35)*Y35</f>
        <v>0</v>
      </c>
      <c r="H35" s="36">
        <f>(T35+V35+W35+X35+Y35+U35)*Z35</f>
        <v>0</v>
      </c>
      <c r="I35" s="36"/>
      <c r="K35" s="3">
        <v>3</v>
      </c>
      <c r="L35" s="3">
        <v>2</v>
      </c>
      <c r="M35" s="3"/>
      <c r="N35" s="3">
        <v>2</v>
      </c>
      <c r="O35" s="3">
        <v>2</v>
      </c>
      <c r="P35" s="3">
        <v>2</v>
      </c>
      <c r="Q35" s="3">
        <v>1</v>
      </c>
      <c r="R35" s="3">
        <v>4</v>
      </c>
      <c r="S35" s="3">
        <v>3</v>
      </c>
      <c r="T35" s="178">
        <v>12</v>
      </c>
    </row>
    <row r="36" spans="1:20" ht="16" x14ac:dyDescent="0.2">
      <c r="A36" s="181" t="s">
        <v>151</v>
      </c>
      <c r="B36" s="36">
        <f t="shared" si="9"/>
        <v>144</v>
      </c>
      <c r="C36" s="36">
        <f>(M36+O36+P36+Q36+T36+N36)*U36</f>
        <v>0</v>
      </c>
      <c r="D36" s="36">
        <f>(N36+P36+Q36+T36+U36+O36)*V36</f>
        <v>0</v>
      </c>
      <c r="E36" s="36">
        <f>(O36+Q36+T36+U36+V36+P36)*W36</f>
        <v>0</v>
      </c>
      <c r="F36" s="36">
        <f>(P36+T36+U36+V36+W36+Q36)*X36</f>
        <v>0</v>
      </c>
      <c r="G36" s="36">
        <f>(Q36+U36+V36+W36+X36+T36)*Y36</f>
        <v>0</v>
      </c>
      <c r="H36" s="36">
        <f>(T36+V36+W36+X36+Y36+U36)*Z36</f>
        <v>0</v>
      </c>
      <c r="I36" s="36">
        <f>(U36+W36+X36+Y36+Z36+V36)*AA36</f>
        <v>0</v>
      </c>
      <c r="K36" s="3">
        <v>3</v>
      </c>
      <c r="L36" s="3">
        <v>4</v>
      </c>
      <c r="M36" s="3"/>
      <c r="N36" s="3">
        <v>2</v>
      </c>
      <c r="O36" s="3">
        <v>3</v>
      </c>
      <c r="P36" s="3"/>
      <c r="Q36" s="3"/>
      <c r="R36" s="3">
        <v>3</v>
      </c>
      <c r="S36" s="3">
        <v>3</v>
      </c>
      <c r="T36" s="178">
        <v>12</v>
      </c>
    </row>
    <row r="37" spans="1:20" ht="16" x14ac:dyDescent="0.2">
      <c r="A37" s="181" t="s">
        <v>152</v>
      </c>
      <c r="B37" s="36">
        <f t="shared" si="9"/>
        <v>78</v>
      </c>
      <c r="C37" s="36">
        <f>(M37+O37+P37+Q37+T37+N37)*U37</f>
        <v>0</v>
      </c>
      <c r="D37" s="36">
        <f>(N37+P37+Q37+T37+U37+O37)*V37</f>
        <v>0</v>
      </c>
      <c r="E37" s="36">
        <f>(O37+Q37+T37+U37+V37+P37)*W37</f>
        <v>0</v>
      </c>
      <c r="F37" s="36">
        <f>(P37+T37+U37+V37+W37+Q37)*X37</f>
        <v>0</v>
      </c>
      <c r="G37" s="36">
        <f>(Q37+U37+V37+W37+X37+T37)*Y37</f>
        <v>0</v>
      </c>
      <c r="H37" s="36">
        <f>(T37+V37+W37+X37+Y37+U37)*Z37</f>
        <v>0</v>
      </c>
      <c r="I37" s="36">
        <f>(U37+W37+X37+Y37+Z37+V37)*AA37</f>
        <v>0</v>
      </c>
      <c r="K37" s="3">
        <v>2</v>
      </c>
      <c r="L37" s="3"/>
      <c r="M37" s="3"/>
      <c r="N37" s="3">
        <v>1</v>
      </c>
      <c r="O37" s="3">
        <v>1</v>
      </c>
      <c r="P37" s="3">
        <v>2</v>
      </c>
      <c r="Q37" s="3">
        <v>0.5</v>
      </c>
      <c r="R37" s="3"/>
      <c r="S37" s="3"/>
      <c r="T37" s="178">
        <v>12</v>
      </c>
    </row>
    <row r="38" spans="1:20" ht="7.5" customHeight="1" x14ac:dyDescent="0.2">
      <c r="A38" s="193"/>
      <c r="B38" s="195"/>
      <c r="C38" s="195"/>
      <c r="D38" s="195"/>
      <c r="E38" s="195"/>
      <c r="F38" s="195"/>
      <c r="G38" s="195"/>
      <c r="H38" s="195"/>
      <c r="I38" s="195"/>
      <c r="J38" s="194"/>
      <c r="K38" s="193"/>
      <c r="L38" s="193"/>
      <c r="M38" s="193"/>
      <c r="N38" s="193"/>
      <c r="O38" s="193"/>
      <c r="P38" s="193"/>
      <c r="Q38" s="193"/>
      <c r="R38" s="193"/>
      <c r="S38" s="193"/>
      <c r="T38" s="192"/>
    </row>
    <row r="39" spans="1:20" ht="16" x14ac:dyDescent="0.2">
      <c r="A39" s="181" t="s">
        <v>153</v>
      </c>
      <c r="B39" s="36">
        <f>(K39+L39+N39+O39+P39+Q39+M39)*T39</f>
        <v>5.5</v>
      </c>
      <c r="C39" s="36">
        <f>(M39+O39+P39+Q39+T39+N39)*U39</f>
        <v>0</v>
      </c>
      <c r="D39" s="36">
        <f>(N39+P39+Q39+T39+U39+O39)*V39</f>
        <v>0</v>
      </c>
      <c r="E39" s="36">
        <f>(O39+Q39+T39+U39+V39+P39)*W39</f>
        <v>0</v>
      </c>
      <c r="F39" s="36">
        <f>(P39+T39+U39+V39+W39+Q39)*X39</f>
        <v>0</v>
      </c>
      <c r="G39" s="36">
        <f>(Q39+U39+V39+W39+X39+T39)*Y39</f>
        <v>0</v>
      </c>
      <c r="H39" s="36">
        <f t="shared" ref="H39:I43" si="10">(T39+V39+W39+X39+Y39+U39)*Z39</f>
        <v>0</v>
      </c>
      <c r="I39" s="36">
        <f t="shared" si="10"/>
        <v>0</v>
      </c>
      <c r="K39" s="3">
        <v>0.25</v>
      </c>
      <c r="L39" s="3"/>
      <c r="M39" s="3"/>
      <c r="N39" s="3">
        <v>0.25</v>
      </c>
      <c r="O39" s="3"/>
      <c r="P39" s="3"/>
      <c r="Q39" s="3"/>
      <c r="R39" s="3">
        <v>4</v>
      </c>
      <c r="S39" s="3">
        <v>4</v>
      </c>
      <c r="T39" s="178">
        <v>11</v>
      </c>
    </row>
    <row r="40" spans="1:20" ht="16" x14ac:dyDescent="0.2">
      <c r="A40" s="181" t="s">
        <v>154</v>
      </c>
      <c r="B40" s="36">
        <f>(K40+L40+N40+O40+P40+Q40+M40)*T40</f>
        <v>78</v>
      </c>
      <c r="C40" s="36">
        <f>(M40+O40+P40+Q40+T40+N40)*U40</f>
        <v>0</v>
      </c>
      <c r="D40" s="36">
        <f>(N40+P40+Q40+T40+U40+O40)*V40</f>
        <v>0</v>
      </c>
      <c r="E40" s="36">
        <f>(O40+Q40+T40+U40+V40+P40)*W40</f>
        <v>0</v>
      </c>
      <c r="F40" s="36">
        <f>(P40+T40+U40+V40+W40+Q40)*X40</f>
        <v>0</v>
      </c>
      <c r="G40" s="36">
        <f>(Q40+U40+V40+W40+X40+T40)*Y40</f>
        <v>0</v>
      </c>
      <c r="H40" s="36">
        <f t="shared" si="10"/>
        <v>0</v>
      </c>
      <c r="I40" s="36">
        <f t="shared" si="10"/>
        <v>0</v>
      </c>
      <c r="K40" s="3"/>
      <c r="L40" s="3"/>
      <c r="M40" s="3"/>
      <c r="N40" s="3">
        <v>0.25</v>
      </c>
      <c r="O40" s="3">
        <v>3</v>
      </c>
      <c r="P40" s="3"/>
      <c r="Q40" s="3"/>
      <c r="R40" s="3">
        <v>4</v>
      </c>
      <c r="S40" s="3">
        <v>4</v>
      </c>
      <c r="T40" s="178">
        <v>24</v>
      </c>
    </row>
    <row r="41" spans="1:20" ht="16" x14ac:dyDescent="0.2">
      <c r="A41" s="181" t="s">
        <v>155</v>
      </c>
      <c r="B41" s="36">
        <f>(K41+L41+N41+O41+P41+Q41+M41)*T41</f>
        <v>104</v>
      </c>
      <c r="C41" s="36">
        <f>(M41+O41+P41+Q41+T41+N41)*U41</f>
        <v>0</v>
      </c>
      <c r="D41" s="36">
        <f>(N41+P41+Q41+T41+U41+O41)*V41</f>
        <v>0</v>
      </c>
      <c r="E41" s="36">
        <f>(O41+Q41+T41+U41+V41+P41)*W41</f>
        <v>0</v>
      </c>
      <c r="F41" s="36">
        <f>(P41+T41+U41+V41+W41+Q41)*X41</f>
        <v>0</v>
      </c>
      <c r="G41" s="36">
        <f>(Q41+U41+V41+W41+X41+T41)*Y41</f>
        <v>0</v>
      </c>
      <c r="H41" s="36">
        <f t="shared" si="10"/>
        <v>0</v>
      </c>
      <c r="I41" s="36">
        <f t="shared" si="10"/>
        <v>0</v>
      </c>
      <c r="K41" s="3">
        <v>2</v>
      </c>
      <c r="L41" s="3"/>
      <c r="M41" s="3"/>
      <c r="N41" s="3"/>
      <c r="O41" s="3"/>
      <c r="P41" s="3"/>
      <c r="Q41" s="3"/>
      <c r="R41" s="3">
        <v>4</v>
      </c>
      <c r="S41" s="3">
        <v>3</v>
      </c>
      <c r="T41" s="178">
        <v>52</v>
      </c>
    </row>
    <row r="42" spans="1:20" ht="16" x14ac:dyDescent="0.2">
      <c r="A42" s="181" t="s">
        <v>156</v>
      </c>
      <c r="B42" s="36">
        <f>(K42+L42+N42+O42+P42+Q42+M42)*T42</f>
        <v>728</v>
      </c>
      <c r="C42" s="36">
        <f>(M42+O42+P42+Q42+T42+N42)*U42</f>
        <v>0</v>
      </c>
      <c r="D42" s="36">
        <f>(N42+P42+Q42+T42+U42+O42)*V42</f>
        <v>0</v>
      </c>
      <c r="E42" s="36">
        <f>(O42+Q42+T42+U42+V42+P42)*W42</f>
        <v>0</v>
      </c>
      <c r="F42" s="36">
        <f>(P42+T42+U42+V42+W42+Q42)*X42</f>
        <v>0</v>
      </c>
      <c r="G42" s="36">
        <f>(Q42+U42+V42+W42+X42+T42)*Y42</f>
        <v>0</v>
      </c>
      <c r="H42" s="36">
        <f t="shared" si="10"/>
        <v>0</v>
      </c>
      <c r="I42" s="36">
        <f t="shared" si="10"/>
        <v>0</v>
      </c>
      <c r="K42" s="3">
        <v>3</v>
      </c>
      <c r="L42" s="3">
        <v>2</v>
      </c>
      <c r="M42" s="3"/>
      <c r="N42" s="3">
        <v>6</v>
      </c>
      <c r="O42" s="3"/>
      <c r="P42" s="3">
        <v>2</v>
      </c>
      <c r="Q42" s="3">
        <v>1</v>
      </c>
      <c r="R42" s="3">
        <v>4</v>
      </c>
      <c r="S42" s="3">
        <v>3</v>
      </c>
      <c r="T42" s="178">
        <v>52</v>
      </c>
    </row>
    <row r="43" spans="1:20" ht="16" x14ac:dyDescent="0.2">
      <c r="A43" s="181" t="s">
        <v>157</v>
      </c>
      <c r="B43" s="36">
        <f>(K43+L43+N43+O43+P43+Q43+M43)*T43</f>
        <v>312</v>
      </c>
      <c r="C43" s="36">
        <f>(M43+O43+P43+Q43+T43+N43)*U43</f>
        <v>0</v>
      </c>
      <c r="D43" s="36">
        <f>(N43+P43+Q43+T43+U43+O43)*V43</f>
        <v>0</v>
      </c>
      <c r="E43" s="36">
        <f>(O43+Q43+T43+U43+V43+P43)*W43</f>
        <v>0</v>
      </c>
      <c r="F43" s="36">
        <f>(P43+T43+U43+V43+W43+Q43)*X43</f>
        <v>0</v>
      </c>
      <c r="G43" s="36">
        <f>(Q43+U43+V43+W43+X43+T43)*Y43</f>
        <v>0</v>
      </c>
      <c r="H43" s="36">
        <f t="shared" si="10"/>
        <v>0</v>
      </c>
      <c r="I43" s="36">
        <f t="shared" si="10"/>
        <v>0</v>
      </c>
      <c r="K43" s="3">
        <v>1</v>
      </c>
      <c r="L43" s="3"/>
      <c r="M43" s="3"/>
      <c r="N43" s="3">
        <v>1</v>
      </c>
      <c r="O43" s="3">
        <v>2</v>
      </c>
      <c r="P43" s="3"/>
      <c r="Q43" s="3">
        <v>2</v>
      </c>
      <c r="R43" s="3">
        <v>4</v>
      </c>
      <c r="S43" s="3">
        <v>4</v>
      </c>
      <c r="T43" s="178">
        <v>52</v>
      </c>
    </row>
    <row r="44" spans="1:20" x14ac:dyDescent="0.2">
      <c r="B44" s="178">
        <f>SUM(B3:B43)</f>
        <v>2187.5</v>
      </c>
    </row>
  </sheetData>
  <mergeCells count="1">
    <mergeCell ref="K1:S1"/>
  </mergeCells>
  <pageMargins left="0.7" right="0.7" top="0.75" bottom="0.75" header="0.3" footer="0.3"/>
  <pageSetup fitToWidth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CD1D-BBF2-42DC-968E-B47F0AF4A5E2}">
  <dimension ref="A1:T43"/>
  <sheetViews>
    <sheetView workbookViewId="0">
      <pane xSplit="1" ySplit="2" topLeftCell="B3" activePane="bottomRight" state="frozen"/>
      <selection pane="topRight" activeCell="R3" sqref="R3"/>
      <selection pane="bottomLeft" activeCell="R3" sqref="R3"/>
      <selection pane="bottomRight" activeCell="R3" sqref="R3"/>
    </sheetView>
  </sheetViews>
  <sheetFormatPr baseColWidth="10" defaultColWidth="8.83203125" defaultRowHeight="15" x14ac:dyDescent="0.2"/>
  <cols>
    <col min="1" max="1" width="45.6640625" customWidth="1"/>
    <col min="2" max="2" width="6.83203125" style="178" customWidth="1"/>
    <col min="3" max="5" width="6.83203125" style="178" hidden="1" customWidth="1"/>
    <col min="6" max="6" width="8.83203125" style="178" hidden="1" customWidth="1"/>
    <col min="7" max="9" width="6.83203125" style="178" hidden="1" customWidth="1"/>
    <col min="10" max="10" width="3.5" customWidth="1"/>
    <col min="11" max="13" width="7.5" customWidth="1"/>
    <col min="14" max="14" width="7.83203125" customWidth="1"/>
    <col min="15" max="15" width="7.6640625" customWidth="1"/>
    <col min="16" max="16" width="6.83203125" customWidth="1"/>
    <col min="17" max="17" width="7.1640625" customWidth="1"/>
    <col min="18" max="18" width="4.83203125" customWidth="1"/>
    <col min="19" max="19" width="4.5" customWidth="1"/>
    <col min="20" max="20" width="6.83203125" style="178" customWidth="1"/>
  </cols>
  <sheetData>
    <row r="1" spans="1:20" x14ac:dyDescent="0.2">
      <c r="K1" s="347"/>
      <c r="L1" s="347"/>
      <c r="M1" s="347"/>
      <c r="N1" s="347"/>
      <c r="O1" s="347"/>
      <c r="P1" s="347"/>
      <c r="Q1" s="347"/>
      <c r="R1" s="347"/>
      <c r="S1" s="347"/>
    </row>
    <row r="2" spans="1:20" s="176" customFormat="1" ht="29.5" customHeight="1" x14ac:dyDescent="0.15">
      <c r="A2" s="179" t="s">
        <v>95</v>
      </c>
      <c r="B2" s="184" t="s">
        <v>158</v>
      </c>
      <c r="C2" s="180"/>
      <c r="D2" s="180"/>
      <c r="E2" s="180"/>
      <c r="F2" s="180"/>
      <c r="G2" s="180"/>
      <c r="H2" s="180"/>
      <c r="I2" s="180"/>
      <c r="K2" s="184" t="s">
        <v>133</v>
      </c>
      <c r="L2" s="184" t="s">
        <v>134</v>
      </c>
      <c r="M2" s="184" t="s">
        <v>100</v>
      </c>
      <c r="N2" s="184" t="s">
        <v>135</v>
      </c>
      <c r="O2" s="184" t="s">
        <v>102</v>
      </c>
      <c r="P2" s="184" t="s">
        <v>136</v>
      </c>
      <c r="Q2" s="184" t="s">
        <v>137</v>
      </c>
      <c r="R2" s="184" t="s">
        <v>105</v>
      </c>
      <c r="S2" s="184" t="s">
        <v>106</v>
      </c>
      <c r="T2" s="177" t="s">
        <v>107</v>
      </c>
    </row>
    <row r="3" spans="1:20" ht="16" x14ac:dyDescent="0.2">
      <c r="A3" s="181" t="s">
        <v>138</v>
      </c>
      <c r="B3" s="36">
        <f t="shared" ref="B3:B23" si="0">(K3+L3+N3+O3+P3+Q3+M3)*T3</f>
        <v>72</v>
      </c>
      <c r="C3" s="36"/>
      <c r="D3" s="36"/>
      <c r="E3" s="36"/>
      <c r="F3" s="36"/>
      <c r="G3" s="36"/>
      <c r="H3" s="36">
        <f>(T3+V3+W3+X3+Y3+U3)*Z3</f>
        <v>0</v>
      </c>
      <c r="I3" s="36"/>
      <c r="K3" s="3">
        <v>0.25</v>
      </c>
      <c r="L3" s="3">
        <v>0</v>
      </c>
      <c r="M3" s="3">
        <v>0</v>
      </c>
      <c r="N3" s="3">
        <v>0</v>
      </c>
      <c r="O3" s="3">
        <v>0</v>
      </c>
      <c r="P3" s="3">
        <v>1.25</v>
      </c>
      <c r="Q3" s="3">
        <v>0</v>
      </c>
      <c r="R3" s="3">
        <v>2</v>
      </c>
      <c r="S3" s="3">
        <v>3</v>
      </c>
      <c r="T3" s="178">
        <v>48</v>
      </c>
    </row>
    <row r="4" spans="1:20" ht="16" x14ac:dyDescent="0.2">
      <c r="A4" s="181" t="s">
        <v>17</v>
      </c>
      <c r="B4" s="36">
        <f t="shared" si="0"/>
        <v>101</v>
      </c>
      <c r="C4" s="36">
        <f>(M4+O4+P4+Q4+T4+N4)*U4</f>
        <v>0</v>
      </c>
      <c r="D4" s="36">
        <f>(N4+P4+Q4+T4+U4+O4)*V4</f>
        <v>0</v>
      </c>
      <c r="E4" s="36">
        <f>(O4+Q4+T4+U4+V4+P4)*W4</f>
        <v>0</v>
      </c>
      <c r="F4" s="36">
        <f>(P4+T4+U4+V4+W4+Q4)*X4</f>
        <v>0</v>
      </c>
      <c r="G4" s="36">
        <f>(Q4+U4+V4+W4+X4+T4)*Y4</f>
        <v>0</v>
      </c>
      <c r="H4" s="36">
        <f>(T4+V4+W4+X4+Y4+U4)*Z4</f>
        <v>0</v>
      </c>
      <c r="I4" s="36">
        <f>(U4+W4+X4+Y4+Z4+V4)*AA4</f>
        <v>0</v>
      </c>
      <c r="K4" s="3">
        <v>40</v>
      </c>
      <c r="L4" s="3">
        <v>20</v>
      </c>
      <c r="M4" s="3">
        <v>6</v>
      </c>
      <c r="N4" s="3">
        <v>8</v>
      </c>
      <c r="O4" s="3">
        <v>8</v>
      </c>
      <c r="P4" s="3">
        <v>13</v>
      </c>
      <c r="Q4" s="3">
        <v>6</v>
      </c>
      <c r="R4" s="3">
        <v>4</v>
      </c>
      <c r="S4" s="3">
        <v>1</v>
      </c>
      <c r="T4" s="151">
        <v>1</v>
      </c>
    </row>
    <row r="5" spans="1:20" ht="16" x14ac:dyDescent="0.2">
      <c r="A5" s="181" t="s">
        <v>9</v>
      </c>
      <c r="B5" s="36">
        <f t="shared" si="0"/>
        <v>80</v>
      </c>
      <c r="C5" s="36">
        <f>(M5+O5+P5+Q5+T5+N5)*U5</f>
        <v>0</v>
      </c>
      <c r="D5" s="36">
        <f>(N5+P5+Q5+T5+U5+O5)*V5</f>
        <v>0</v>
      </c>
      <c r="E5" s="36">
        <f>(O5+Q5+T5+U5+V5+P5)*W5</f>
        <v>0</v>
      </c>
      <c r="F5" s="36">
        <f>(P5+T5+U5+V5+W5+Q5)*X5</f>
        <v>0</v>
      </c>
      <c r="G5" s="36">
        <f>(Q5+U5+V5+W5+X5+T5)*Y5</f>
        <v>0</v>
      </c>
      <c r="H5" s="36">
        <f>(T5+V5+W5+X5+Y5+U5)*Z5</f>
        <v>0</v>
      </c>
      <c r="I5" s="36">
        <f>(U5+W5+X5+Y5+Z5+V5)*AA5</f>
        <v>0</v>
      </c>
      <c r="K5" s="3">
        <v>35</v>
      </c>
      <c r="L5" s="3">
        <v>18</v>
      </c>
      <c r="M5" s="3">
        <v>6</v>
      </c>
      <c r="N5" s="3">
        <v>3</v>
      </c>
      <c r="O5" s="3">
        <v>8</v>
      </c>
      <c r="P5" s="3">
        <v>6</v>
      </c>
      <c r="Q5" s="3">
        <v>4</v>
      </c>
      <c r="R5" s="3">
        <v>4</v>
      </c>
      <c r="S5" s="3">
        <v>1</v>
      </c>
      <c r="T5" s="151">
        <v>1</v>
      </c>
    </row>
    <row r="6" spans="1:20" ht="16" x14ac:dyDescent="0.2">
      <c r="A6" s="181" t="s">
        <v>20</v>
      </c>
      <c r="B6" s="36">
        <f t="shared" si="0"/>
        <v>68</v>
      </c>
      <c r="C6" s="36">
        <f>(M6+O6+P6+Q6+T6+N6)*U6</f>
        <v>0</v>
      </c>
      <c r="D6" s="36">
        <f>(N6+P6+Q6+T6+U6+O6)*V6</f>
        <v>0</v>
      </c>
      <c r="E6" s="36">
        <f>(O6+Q6+T6+U6+V6+P6)*W6</f>
        <v>0</v>
      </c>
      <c r="F6" s="36">
        <f>(P6+T6+U6+V6+W6+Q6)*X6</f>
        <v>0</v>
      </c>
      <c r="G6" s="36">
        <f>(Q6+U6+V6+W6+X6+T6)*Y6</f>
        <v>0</v>
      </c>
      <c r="H6" s="36">
        <f>(T6+V6+W6+X6+Y6+U6)*Z6</f>
        <v>0</v>
      </c>
      <c r="I6" s="36">
        <f>(U6+W6+X6+Y6+Z6+V6)*AA6</f>
        <v>0</v>
      </c>
      <c r="K6" s="3">
        <v>25</v>
      </c>
      <c r="L6" s="3">
        <v>15</v>
      </c>
      <c r="M6" s="3">
        <v>5</v>
      </c>
      <c r="N6" s="3">
        <v>2</v>
      </c>
      <c r="O6" s="3">
        <v>6</v>
      </c>
      <c r="P6" s="3">
        <v>11</v>
      </c>
      <c r="Q6" s="3">
        <v>4</v>
      </c>
      <c r="R6" s="3">
        <v>3</v>
      </c>
      <c r="S6" s="3">
        <v>1</v>
      </c>
      <c r="T6" s="151">
        <v>1</v>
      </c>
    </row>
    <row r="7" spans="1:20" ht="16" x14ac:dyDescent="0.2">
      <c r="A7" s="181" t="s">
        <v>109</v>
      </c>
      <c r="B7" s="36">
        <f t="shared" si="0"/>
        <v>60</v>
      </c>
      <c r="C7" s="36">
        <f>(M7+O7+P7+Q7+T7+N7)*U7</f>
        <v>0</v>
      </c>
      <c r="D7" s="36">
        <f>(N7+P7+Q7+T7+U7+O7)*V7</f>
        <v>0</v>
      </c>
      <c r="E7" s="36">
        <f>(O7+Q7+T7+U7+V7+P7)*W7</f>
        <v>0</v>
      </c>
      <c r="F7" s="36">
        <f>(P7+T7+U7+V7+W7+Q7)*X7</f>
        <v>0</v>
      </c>
      <c r="G7" s="36">
        <f>(Q7+U7+V7+W7+X7+T7)*Y7</f>
        <v>0</v>
      </c>
      <c r="H7" s="36">
        <f>(T7+V7+W7+X7+Y7+U7)*Z7</f>
        <v>0</v>
      </c>
      <c r="I7" s="36">
        <f>(U7+W7+X7+Y7+Z7+V7)*AA7</f>
        <v>0</v>
      </c>
      <c r="K7" s="3">
        <v>20</v>
      </c>
      <c r="L7" s="3">
        <v>10</v>
      </c>
      <c r="M7" s="3">
        <v>12</v>
      </c>
      <c r="N7" s="3">
        <v>8</v>
      </c>
      <c r="O7" s="3">
        <v>10</v>
      </c>
      <c r="P7" s="3">
        <v>0</v>
      </c>
      <c r="Q7" s="3">
        <v>0</v>
      </c>
      <c r="R7" s="3">
        <v>4</v>
      </c>
      <c r="S7" s="3">
        <v>4</v>
      </c>
      <c r="T7" s="178">
        <v>1</v>
      </c>
    </row>
    <row r="8" spans="1:20" ht="16" x14ac:dyDescent="0.2">
      <c r="A8" s="181" t="s">
        <v>139</v>
      </c>
      <c r="B8" s="36">
        <f t="shared" si="0"/>
        <v>279</v>
      </c>
      <c r="C8" s="36"/>
      <c r="D8" s="36"/>
      <c r="E8" s="36"/>
      <c r="F8" s="36"/>
      <c r="G8" s="36"/>
      <c r="H8" s="36"/>
      <c r="I8" s="36"/>
      <c r="K8" s="3">
        <v>6</v>
      </c>
      <c r="L8" s="3">
        <v>8</v>
      </c>
      <c r="M8" s="3">
        <v>0</v>
      </c>
      <c r="N8" s="3">
        <v>4</v>
      </c>
      <c r="O8" s="3">
        <v>1</v>
      </c>
      <c r="P8" s="3">
        <v>9</v>
      </c>
      <c r="Q8" s="3">
        <v>3</v>
      </c>
      <c r="R8" s="3">
        <v>5</v>
      </c>
      <c r="S8" s="3">
        <v>3</v>
      </c>
      <c r="T8" s="178">
        <v>9</v>
      </c>
    </row>
    <row r="9" spans="1:20" ht="16" x14ac:dyDescent="0.2">
      <c r="A9" s="181" t="s">
        <v>21</v>
      </c>
      <c r="B9" s="36">
        <f t="shared" si="0"/>
        <v>0</v>
      </c>
      <c r="C9" s="36">
        <f t="shared" ref="C9:C23" si="1">(M9+O9+P9+Q9+T9+N9)*U9</f>
        <v>0</v>
      </c>
      <c r="D9" s="36">
        <f t="shared" ref="D9:D23" si="2">(N9+P9+Q9+T9+U9+O9)*V9</f>
        <v>0</v>
      </c>
      <c r="E9" s="36">
        <f t="shared" ref="E9:E23" si="3">(O9+Q9+T9+U9+V9+P9)*W9</f>
        <v>0</v>
      </c>
      <c r="F9" s="36">
        <f t="shared" ref="F9:F23" si="4">(P9+T9+U9+V9+W9+Q9)*X9</f>
        <v>0</v>
      </c>
      <c r="G9" s="36">
        <f t="shared" ref="G9:G23" si="5">(Q9+U9+V9+W9+X9+T9)*Y9</f>
        <v>0</v>
      </c>
      <c r="H9" s="36">
        <f t="shared" ref="H9:I15" si="6">(T9+V9+W9+X9+Y9+U9)*Z9</f>
        <v>0</v>
      </c>
      <c r="I9" s="36">
        <f t="shared" si="6"/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178">
        <v>1</v>
      </c>
    </row>
    <row r="10" spans="1:20" ht="16" x14ac:dyDescent="0.2">
      <c r="A10" s="181" t="s">
        <v>25</v>
      </c>
      <c r="B10" s="36">
        <f t="shared" si="0"/>
        <v>63</v>
      </c>
      <c r="C10" s="36">
        <f t="shared" si="1"/>
        <v>0</v>
      </c>
      <c r="D10" s="36">
        <f t="shared" si="2"/>
        <v>0</v>
      </c>
      <c r="E10" s="36">
        <f t="shared" si="3"/>
        <v>0</v>
      </c>
      <c r="F10" s="36">
        <f t="shared" si="4"/>
        <v>0</v>
      </c>
      <c r="G10" s="36">
        <f t="shared" si="5"/>
        <v>0</v>
      </c>
      <c r="H10" s="36">
        <f t="shared" si="6"/>
        <v>0</v>
      </c>
      <c r="I10" s="36">
        <f t="shared" si="6"/>
        <v>0</v>
      </c>
      <c r="K10" s="3">
        <v>25</v>
      </c>
      <c r="L10" s="3">
        <v>8</v>
      </c>
      <c r="M10" s="3">
        <v>8</v>
      </c>
      <c r="N10" s="3">
        <v>2</v>
      </c>
      <c r="O10" s="3">
        <v>5</v>
      </c>
      <c r="P10" s="3">
        <v>12</v>
      </c>
      <c r="Q10" s="3">
        <v>3</v>
      </c>
      <c r="R10" s="3">
        <v>3</v>
      </c>
      <c r="S10" s="3">
        <v>1</v>
      </c>
      <c r="T10" s="178">
        <v>1</v>
      </c>
    </row>
    <row r="11" spans="1:20" ht="16" x14ac:dyDescent="0.2">
      <c r="A11" s="181" t="s">
        <v>27</v>
      </c>
      <c r="B11" s="36">
        <f t="shared" si="0"/>
        <v>54</v>
      </c>
      <c r="C11" s="36">
        <f t="shared" si="1"/>
        <v>0</v>
      </c>
      <c r="D11" s="36">
        <f t="shared" si="2"/>
        <v>0</v>
      </c>
      <c r="E11" s="36">
        <f t="shared" si="3"/>
        <v>0</v>
      </c>
      <c r="F11" s="36">
        <f t="shared" si="4"/>
        <v>0</v>
      </c>
      <c r="G11" s="36">
        <f t="shared" si="5"/>
        <v>0</v>
      </c>
      <c r="H11" s="36">
        <f t="shared" si="6"/>
        <v>0</v>
      </c>
      <c r="I11" s="36">
        <f t="shared" si="6"/>
        <v>0</v>
      </c>
      <c r="K11" s="3">
        <v>30</v>
      </c>
      <c r="L11" s="3">
        <v>6</v>
      </c>
      <c r="M11" s="3">
        <v>1</v>
      </c>
      <c r="N11" s="3">
        <v>2</v>
      </c>
      <c r="O11" s="3">
        <v>5</v>
      </c>
      <c r="P11" s="3">
        <v>7</v>
      </c>
      <c r="Q11" s="3">
        <v>3</v>
      </c>
      <c r="R11" s="3">
        <v>4</v>
      </c>
      <c r="S11" s="3">
        <v>2</v>
      </c>
      <c r="T11" s="178">
        <v>1</v>
      </c>
    </row>
    <row r="12" spans="1:20" ht="16" x14ac:dyDescent="0.2">
      <c r="A12" s="181" t="s">
        <v>28</v>
      </c>
      <c r="B12" s="36">
        <f t="shared" si="0"/>
        <v>52</v>
      </c>
      <c r="C12" s="36">
        <f t="shared" si="1"/>
        <v>0</v>
      </c>
      <c r="D12" s="36">
        <f t="shared" si="2"/>
        <v>0</v>
      </c>
      <c r="E12" s="36">
        <f t="shared" si="3"/>
        <v>0</v>
      </c>
      <c r="F12" s="36">
        <f t="shared" si="4"/>
        <v>0</v>
      </c>
      <c r="G12" s="36">
        <f t="shared" si="5"/>
        <v>0</v>
      </c>
      <c r="H12" s="36">
        <f t="shared" si="6"/>
        <v>0</v>
      </c>
      <c r="I12" s="36">
        <f t="shared" si="6"/>
        <v>0</v>
      </c>
      <c r="K12" s="3">
        <v>30</v>
      </c>
      <c r="L12" s="3">
        <v>6</v>
      </c>
      <c r="M12" s="3">
        <v>0</v>
      </c>
      <c r="N12" s="3">
        <v>1</v>
      </c>
      <c r="O12" s="3">
        <v>5</v>
      </c>
      <c r="P12" s="3">
        <v>7</v>
      </c>
      <c r="Q12" s="3">
        <v>3</v>
      </c>
      <c r="R12" s="3">
        <v>4</v>
      </c>
      <c r="S12" s="3">
        <v>3</v>
      </c>
      <c r="T12" s="178">
        <v>1</v>
      </c>
    </row>
    <row r="13" spans="1:20" ht="16" x14ac:dyDescent="0.2">
      <c r="A13" s="181" t="s">
        <v>47</v>
      </c>
      <c r="B13" s="36">
        <f t="shared" si="0"/>
        <v>77.5</v>
      </c>
      <c r="C13" s="36">
        <f t="shared" si="1"/>
        <v>0</v>
      </c>
      <c r="D13" s="36">
        <f t="shared" si="2"/>
        <v>0</v>
      </c>
      <c r="E13" s="36">
        <f t="shared" si="3"/>
        <v>0</v>
      </c>
      <c r="F13" s="36">
        <f t="shared" si="4"/>
        <v>0</v>
      </c>
      <c r="G13" s="36">
        <f t="shared" si="5"/>
        <v>0</v>
      </c>
      <c r="H13" s="36">
        <f t="shared" si="6"/>
        <v>0</v>
      </c>
      <c r="I13" s="36">
        <f t="shared" si="6"/>
        <v>0</v>
      </c>
      <c r="K13" s="3">
        <v>30</v>
      </c>
      <c r="L13" s="3">
        <v>12</v>
      </c>
      <c r="M13" s="3">
        <v>10</v>
      </c>
      <c r="N13" s="3">
        <v>4</v>
      </c>
      <c r="O13" s="3">
        <v>8</v>
      </c>
      <c r="P13" s="3">
        <v>9.5</v>
      </c>
      <c r="Q13" s="3">
        <v>4</v>
      </c>
      <c r="R13" s="3">
        <v>4</v>
      </c>
      <c r="S13" s="3">
        <v>3</v>
      </c>
      <c r="T13" s="178">
        <v>1</v>
      </c>
    </row>
    <row r="14" spans="1:20" ht="16" x14ac:dyDescent="0.2">
      <c r="A14" s="181" t="s">
        <v>12</v>
      </c>
      <c r="B14" s="36">
        <f t="shared" si="0"/>
        <v>86</v>
      </c>
      <c r="C14" s="36">
        <f t="shared" si="1"/>
        <v>0</v>
      </c>
      <c r="D14" s="36">
        <f t="shared" si="2"/>
        <v>0</v>
      </c>
      <c r="E14" s="36">
        <f t="shared" si="3"/>
        <v>0</v>
      </c>
      <c r="F14" s="36">
        <f t="shared" si="4"/>
        <v>0</v>
      </c>
      <c r="G14" s="36">
        <f t="shared" si="5"/>
        <v>0</v>
      </c>
      <c r="H14" s="36">
        <f t="shared" si="6"/>
        <v>0</v>
      </c>
      <c r="I14" s="36">
        <f t="shared" si="6"/>
        <v>0</v>
      </c>
      <c r="K14" s="3">
        <v>40</v>
      </c>
      <c r="L14" s="3">
        <v>12</v>
      </c>
      <c r="M14" s="3">
        <v>10</v>
      </c>
      <c r="N14" s="3">
        <v>4</v>
      </c>
      <c r="O14" s="3">
        <v>5</v>
      </c>
      <c r="P14" s="3">
        <v>11</v>
      </c>
      <c r="Q14" s="3">
        <v>4</v>
      </c>
      <c r="R14" s="3">
        <v>1</v>
      </c>
      <c r="S14" s="3">
        <v>1</v>
      </c>
      <c r="T14" s="178">
        <v>1</v>
      </c>
    </row>
    <row r="15" spans="1:20" ht="16" x14ac:dyDescent="0.2">
      <c r="A15" s="181" t="s">
        <v>110</v>
      </c>
      <c r="B15" s="36">
        <f t="shared" si="0"/>
        <v>19</v>
      </c>
      <c r="C15" s="36">
        <f t="shared" si="1"/>
        <v>0</v>
      </c>
      <c r="D15" s="36">
        <f t="shared" si="2"/>
        <v>0</v>
      </c>
      <c r="E15" s="36">
        <f t="shared" si="3"/>
        <v>0</v>
      </c>
      <c r="F15" s="36">
        <f t="shared" si="4"/>
        <v>0</v>
      </c>
      <c r="G15" s="36">
        <f t="shared" si="5"/>
        <v>0</v>
      </c>
      <c r="H15" s="36">
        <f t="shared" si="6"/>
        <v>0</v>
      </c>
      <c r="I15" s="36">
        <f t="shared" si="6"/>
        <v>0</v>
      </c>
      <c r="K15" s="3">
        <v>7</v>
      </c>
      <c r="L15" s="3">
        <v>4</v>
      </c>
      <c r="M15" s="3">
        <v>0</v>
      </c>
      <c r="N15" s="3">
        <v>0</v>
      </c>
      <c r="O15" s="3">
        <v>2</v>
      </c>
      <c r="P15" s="3">
        <v>4</v>
      </c>
      <c r="Q15" s="3">
        <v>2</v>
      </c>
      <c r="R15" s="3">
        <v>4</v>
      </c>
      <c r="S15" s="3">
        <v>2</v>
      </c>
      <c r="T15" s="178">
        <v>1</v>
      </c>
    </row>
    <row r="16" spans="1:20" ht="16" x14ac:dyDescent="0.2">
      <c r="A16" s="181" t="s">
        <v>111</v>
      </c>
      <c r="B16" s="36">
        <f t="shared" si="0"/>
        <v>19</v>
      </c>
      <c r="C16" s="36">
        <f t="shared" si="1"/>
        <v>0</v>
      </c>
      <c r="D16" s="36">
        <f t="shared" si="2"/>
        <v>0</v>
      </c>
      <c r="E16" s="36">
        <f t="shared" si="3"/>
        <v>0</v>
      </c>
      <c r="F16" s="36">
        <f t="shared" si="4"/>
        <v>0</v>
      </c>
      <c r="G16" s="36">
        <f t="shared" si="5"/>
        <v>0</v>
      </c>
      <c r="H16" s="36">
        <f t="shared" ref="H16:H23" si="7">(T16+V16+W16+X16+Y16+U16)*Z16</f>
        <v>0</v>
      </c>
      <c r="I16" s="36"/>
      <c r="K16" s="3">
        <v>7</v>
      </c>
      <c r="L16" s="3">
        <v>4</v>
      </c>
      <c r="M16" s="3">
        <v>0</v>
      </c>
      <c r="N16" s="3">
        <v>0</v>
      </c>
      <c r="O16" s="3">
        <v>2</v>
      </c>
      <c r="P16" s="3">
        <v>4</v>
      </c>
      <c r="Q16" s="3">
        <v>2</v>
      </c>
      <c r="R16" s="3">
        <v>4</v>
      </c>
      <c r="S16" s="3">
        <v>2</v>
      </c>
      <c r="T16" s="178">
        <v>1</v>
      </c>
    </row>
    <row r="17" spans="1:20" ht="16" x14ac:dyDescent="0.2">
      <c r="A17" s="181" t="s">
        <v>49</v>
      </c>
      <c r="B17" s="36">
        <f t="shared" si="0"/>
        <v>0</v>
      </c>
      <c r="C17" s="36">
        <f t="shared" si="1"/>
        <v>0</v>
      </c>
      <c r="D17" s="36">
        <f t="shared" si="2"/>
        <v>0</v>
      </c>
      <c r="E17" s="36">
        <f t="shared" si="3"/>
        <v>0</v>
      </c>
      <c r="F17" s="36">
        <f t="shared" si="4"/>
        <v>0</v>
      </c>
      <c r="G17" s="36">
        <f t="shared" si="5"/>
        <v>0</v>
      </c>
      <c r="H17" s="36">
        <f t="shared" si="7"/>
        <v>0</v>
      </c>
      <c r="I17" s="36">
        <f t="shared" ref="I17:I23" si="8">(U17+W17+X17+Y17+Z17+V17)*AA17</f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151">
        <v>2</v>
      </c>
    </row>
    <row r="18" spans="1:20" ht="16" x14ac:dyDescent="0.2">
      <c r="A18" s="181" t="s">
        <v>30</v>
      </c>
      <c r="B18" s="36">
        <f t="shared" si="0"/>
        <v>108</v>
      </c>
      <c r="C18" s="36">
        <f t="shared" si="1"/>
        <v>0</v>
      </c>
      <c r="D18" s="36">
        <f t="shared" si="2"/>
        <v>0</v>
      </c>
      <c r="E18" s="36">
        <f t="shared" si="3"/>
        <v>0</v>
      </c>
      <c r="F18" s="36">
        <f t="shared" si="4"/>
        <v>0</v>
      </c>
      <c r="G18" s="36">
        <f t="shared" si="5"/>
        <v>0</v>
      </c>
      <c r="H18" s="36">
        <f t="shared" si="7"/>
        <v>0</v>
      </c>
      <c r="I18" s="36">
        <f t="shared" si="8"/>
        <v>0</v>
      </c>
      <c r="K18" s="3">
        <v>3</v>
      </c>
      <c r="L18" s="3">
        <v>2</v>
      </c>
      <c r="M18" s="3">
        <v>3</v>
      </c>
      <c r="N18" s="3">
        <v>2</v>
      </c>
      <c r="O18" s="3">
        <v>2</v>
      </c>
      <c r="P18" s="3">
        <v>4</v>
      </c>
      <c r="Q18" s="3">
        <v>2</v>
      </c>
      <c r="R18" s="3">
        <v>5</v>
      </c>
      <c r="S18" s="3">
        <v>4</v>
      </c>
      <c r="T18" s="178">
        <v>6</v>
      </c>
    </row>
    <row r="19" spans="1:20" ht="16" hidden="1" x14ac:dyDescent="0.2">
      <c r="A19" s="182" t="s">
        <v>40</v>
      </c>
      <c r="B19" s="36">
        <f t="shared" si="0"/>
        <v>0</v>
      </c>
      <c r="C19" s="36">
        <f t="shared" si="1"/>
        <v>0</v>
      </c>
      <c r="D19" s="36">
        <f t="shared" si="2"/>
        <v>0</v>
      </c>
      <c r="E19" s="36">
        <f t="shared" si="3"/>
        <v>0</v>
      </c>
      <c r="F19" s="36">
        <f t="shared" si="4"/>
        <v>0</v>
      </c>
      <c r="G19" s="36">
        <f t="shared" si="5"/>
        <v>0</v>
      </c>
      <c r="H19" s="36">
        <f t="shared" si="7"/>
        <v>0</v>
      </c>
      <c r="I19" s="36">
        <f t="shared" si="8"/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 spans="1:20" ht="16" hidden="1" x14ac:dyDescent="0.2">
      <c r="A20" s="182" t="s">
        <v>42</v>
      </c>
      <c r="B20" s="36">
        <f t="shared" si="0"/>
        <v>0</v>
      </c>
      <c r="C20" s="36">
        <f t="shared" si="1"/>
        <v>0</v>
      </c>
      <c r="D20" s="36">
        <f t="shared" si="2"/>
        <v>0</v>
      </c>
      <c r="E20" s="36">
        <f t="shared" si="3"/>
        <v>0</v>
      </c>
      <c r="F20" s="36">
        <f t="shared" si="4"/>
        <v>0</v>
      </c>
      <c r="G20" s="36">
        <f t="shared" si="5"/>
        <v>0</v>
      </c>
      <c r="H20" s="36">
        <f t="shared" si="7"/>
        <v>0</v>
      </c>
      <c r="I20" s="36">
        <f t="shared" si="8"/>
        <v>0</v>
      </c>
      <c r="K20" s="3"/>
      <c r="L20" s="3"/>
      <c r="M20" s="3"/>
      <c r="N20" s="3"/>
      <c r="O20" s="3"/>
      <c r="P20" s="3"/>
      <c r="Q20" s="3"/>
      <c r="R20" s="3"/>
      <c r="S20" s="3"/>
    </row>
    <row r="21" spans="1:20" ht="16" hidden="1" x14ac:dyDescent="0.2">
      <c r="A21" s="182" t="s">
        <v>43</v>
      </c>
      <c r="B21" s="36">
        <f t="shared" si="0"/>
        <v>0</v>
      </c>
      <c r="C21" s="36">
        <f t="shared" si="1"/>
        <v>0</v>
      </c>
      <c r="D21" s="36">
        <f t="shared" si="2"/>
        <v>0</v>
      </c>
      <c r="E21" s="36">
        <f t="shared" si="3"/>
        <v>0</v>
      </c>
      <c r="F21" s="36">
        <f t="shared" si="4"/>
        <v>0</v>
      </c>
      <c r="G21" s="36">
        <f t="shared" si="5"/>
        <v>0</v>
      </c>
      <c r="H21" s="36">
        <f t="shared" si="7"/>
        <v>0</v>
      </c>
      <c r="I21" s="36">
        <f t="shared" si="8"/>
        <v>0</v>
      </c>
      <c r="K21" s="3"/>
      <c r="L21" s="3"/>
      <c r="M21" s="3"/>
      <c r="N21" s="3"/>
      <c r="O21" s="3"/>
      <c r="P21" s="3"/>
      <c r="Q21" s="3"/>
      <c r="R21" s="3"/>
      <c r="S21" s="3"/>
    </row>
    <row r="22" spans="1:20" ht="16" x14ac:dyDescent="0.2">
      <c r="A22" s="181" t="s">
        <v>140</v>
      </c>
      <c r="B22" s="36">
        <f t="shared" si="0"/>
        <v>36</v>
      </c>
      <c r="C22" s="36">
        <f t="shared" si="1"/>
        <v>0</v>
      </c>
      <c r="D22" s="36">
        <f t="shared" si="2"/>
        <v>0</v>
      </c>
      <c r="E22" s="36">
        <f t="shared" si="3"/>
        <v>0</v>
      </c>
      <c r="F22" s="36">
        <f t="shared" si="4"/>
        <v>0</v>
      </c>
      <c r="G22" s="36">
        <f t="shared" si="5"/>
        <v>0</v>
      </c>
      <c r="H22" s="36">
        <f t="shared" si="7"/>
        <v>0</v>
      </c>
      <c r="I22" s="36">
        <f t="shared" si="8"/>
        <v>0</v>
      </c>
      <c r="K22" s="3">
        <v>1</v>
      </c>
      <c r="L22" s="3">
        <v>3</v>
      </c>
      <c r="M22" s="3">
        <v>0</v>
      </c>
      <c r="N22" s="3">
        <v>0</v>
      </c>
      <c r="O22" s="3">
        <v>1</v>
      </c>
      <c r="P22" s="3">
        <v>3</v>
      </c>
      <c r="Q22" s="3">
        <v>1</v>
      </c>
      <c r="R22" s="3">
        <v>3</v>
      </c>
      <c r="S22" s="3">
        <v>2</v>
      </c>
      <c r="T22" s="151">
        <v>4</v>
      </c>
    </row>
    <row r="23" spans="1:20" ht="16" x14ac:dyDescent="0.2">
      <c r="A23" s="181" t="s">
        <v>41</v>
      </c>
      <c r="B23" s="36">
        <f t="shared" si="0"/>
        <v>29</v>
      </c>
      <c r="C23" s="36">
        <f t="shared" si="1"/>
        <v>0</v>
      </c>
      <c r="D23" s="36">
        <f t="shared" si="2"/>
        <v>0</v>
      </c>
      <c r="E23" s="36">
        <f t="shared" si="3"/>
        <v>0</v>
      </c>
      <c r="F23" s="36">
        <f t="shared" si="4"/>
        <v>0</v>
      </c>
      <c r="G23" s="36">
        <f t="shared" si="5"/>
        <v>0</v>
      </c>
      <c r="H23" s="36">
        <f t="shared" si="7"/>
        <v>0</v>
      </c>
      <c r="I23" s="36">
        <f t="shared" si="8"/>
        <v>0</v>
      </c>
      <c r="K23" s="3">
        <v>8</v>
      </c>
      <c r="L23" s="3">
        <v>3</v>
      </c>
      <c r="M23" s="3">
        <v>2</v>
      </c>
      <c r="N23" s="3">
        <v>0</v>
      </c>
      <c r="O23" s="3">
        <v>5</v>
      </c>
      <c r="P23" s="3">
        <v>10</v>
      </c>
      <c r="Q23" s="3">
        <v>1</v>
      </c>
      <c r="R23" s="3">
        <v>4</v>
      </c>
      <c r="S23" s="3">
        <v>3</v>
      </c>
      <c r="T23" s="151">
        <v>1</v>
      </c>
    </row>
    <row r="24" spans="1:20" ht="9" customHeight="1" x14ac:dyDescent="0.2">
      <c r="A24" s="196"/>
      <c r="B24" s="195"/>
      <c r="C24" s="195"/>
      <c r="D24" s="195"/>
      <c r="E24" s="195"/>
      <c r="F24" s="195"/>
      <c r="G24" s="195"/>
      <c r="H24" s="195"/>
      <c r="I24" s="195"/>
      <c r="J24" s="194"/>
      <c r="K24" s="193"/>
      <c r="L24" s="193"/>
      <c r="M24" s="193"/>
      <c r="N24" s="193"/>
      <c r="O24" s="193"/>
      <c r="P24" s="193"/>
      <c r="Q24" s="193"/>
      <c r="R24" s="193"/>
      <c r="S24" s="193"/>
      <c r="T24" s="192"/>
    </row>
    <row r="25" spans="1:20" ht="16" x14ac:dyDescent="0.2">
      <c r="A25" s="181" t="s">
        <v>141</v>
      </c>
      <c r="B25" s="36">
        <f>(K25+L25+N25+O25+P25+Q25+M25)*T25</f>
        <v>0</v>
      </c>
      <c r="C25" s="36"/>
      <c r="D25" s="36"/>
      <c r="E25" s="36"/>
      <c r="F25" s="36"/>
      <c r="G25" s="36"/>
      <c r="H25" s="36"/>
      <c r="I25" s="36"/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178">
        <v>12</v>
      </c>
    </row>
    <row r="26" spans="1:20" ht="16" x14ac:dyDescent="0.2">
      <c r="A26" s="181" t="s">
        <v>142</v>
      </c>
      <c r="B26" s="36">
        <f>(K26+L26+N26+O26+P26+Q26+M26)*T26</f>
        <v>0</v>
      </c>
      <c r="C26" s="36"/>
      <c r="D26" s="36"/>
      <c r="E26" s="36"/>
      <c r="F26" s="36"/>
      <c r="G26" s="36"/>
      <c r="H26" s="36"/>
      <c r="I26" s="36"/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178">
        <v>12</v>
      </c>
    </row>
    <row r="27" spans="1:20" ht="16" x14ac:dyDescent="0.2">
      <c r="A27" s="181" t="s">
        <v>143</v>
      </c>
      <c r="B27" s="36">
        <f>(K27+L27+N27+O27+P27+Q27+M27)*T27</f>
        <v>0</v>
      </c>
      <c r="C27" s="36"/>
      <c r="D27" s="36"/>
      <c r="E27" s="36"/>
      <c r="F27" s="36"/>
      <c r="G27" s="36"/>
      <c r="H27" s="36"/>
      <c r="I27" s="36"/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/>
      <c r="T27" s="178">
        <v>12</v>
      </c>
    </row>
    <row r="28" spans="1:20" ht="16" x14ac:dyDescent="0.2">
      <c r="A28" s="181" t="s">
        <v>144</v>
      </c>
      <c r="B28" s="36">
        <f>(K28+L28+N28+O28+P28+Q28+M28)*T28</f>
        <v>42</v>
      </c>
      <c r="C28" s="36"/>
      <c r="D28" s="36"/>
      <c r="E28" s="36"/>
      <c r="F28" s="36"/>
      <c r="G28" s="36"/>
      <c r="H28" s="36"/>
      <c r="I28" s="36"/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2</v>
      </c>
      <c r="Q28" s="3">
        <v>0.5</v>
      </c>
      <c r="R28" s="3">
        <v>4</v>
      </c>
      <c r="S28" s="3">
        <v>4</v>
      </c>
      <c r="T28" s="178">
        <v>12</v>
      </c>
    </row>
    <row r="29" spans="1:20" ht="16" x14ac:dyDescent="0.2">
      <c r="A29" s="181" t="s">
        <v>145</v>
      </c>
      <c r="B29" s="36">
        <f>(K29+L29+N29+O29+P29+Q29+M29)*T29</f>
        <v>0</v>
      </c>
      <c r="C29" s="36"/>
      <c r="D29" s="36"/>
      <c r="E29" s="36"/>
      <c r="F29" s="36"/>
      <c r="G29" s="36"/>
      <c r="H29" s="36"/>
      <c r="I29" s="36"/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/>
      <c r="Q29" s="3">
        <v>0</v>
      </c>
      <c r="R29" s="3">
        <v>0</v>
      </c>
      <c r="S29" s="3">
        <v>0</v>
      </c>
      <c r="T29" s="178">
        <v>12</v>
      </c>
    </row>
    <row r="30" spans="1:20" ht="6.75" customHeight="1" x14ac:dyDescent="0.2">
      <c r="A30" s="196"/>
      <c r="B30" s="195"/>
      <c r="C30" s="195"/>
      <c r="D30" s="195"/>
      <c r="E30" s="195"/>
      <c r="F30" s="195"/>
      <c r="G30" s="195"/>
      <c r="H30" s="195"/>
      <c r="I30" s="195"/>
      <c r="J30" s="194"/>
      <c r="K30" s="193"/>
      <c r="L30" s="193"/>
      <c r="M30" s="193"/>
      <c r="N30" s="193"/>
      <c r="O30" s="193"/>
      <c r="P30" s="193"/>
      <c r="Q30" s="193"/>
      <c r="R30" s="193"/>
      <c r="S30" s="193"/>
      <c r="T30" s="192"/>
    </row>
    <row r="31" spans="1:20" ht="16" x14ac:dyDescent="0.2">
      <c r="A31" s="181" t="s">
        <v>146</v>
      </c>
      <c r="B31" s="36">
        <f t="shared" ref="B31:B37" si="9">(K31+L31+N31+O31+P31+Q31+M31)*T31</f>
        <v>198</v>
      </c>
      <c r="C31" s="36">
        <f>(M31+O31+P31+Q31+T31+N31)*U31</f>
        <v>0</v>
      </c>
      <c r="D31" s="36">
        <f>(N31+P31+Q31+T31+U31+O31)*V31</f>
        <v>0</v>
      </c>
      <c r="E31" s="36">
        <f>(O31+Q31+T31+U31+V31+P31)*W31</f>
        <v>0</v>
      </c>
      <c r="F31" s="36">
        <f>(P31+T31+U31+V31+W31+Q31)*X31</f>
        <v>0</v>
      </c>
      <c r="G31" s="36">
        <f>(Q31+U31+V31+W31+X31+T31)*Y31</f>
        <v>0</v>
      </c>
      <c r="H31" s="36">
        <f>(T31+V31+W31+X31+Y31+U31)*Z31</f>
        <v>0</v>
      </c>
      <c r="I31" s="36">
        <f>(U31+W31+X31+Y31+Z31+V31)*AA31</f>
        <v>0</v>
      </c>
      <c r="K31" s="3">
        <v>2.5</v>
      </c>
      <c r="L31" s="3">
        <v>3</v>
      </c>
      <c r="M31" s="3">
        <v>2</v>
      </c>
      <c r="N31" s="3">
        <v>1</v>
      </c>
      <c r="O31" s="3">
        <v>3</v>
      </c>
      <c r="P31" s="3">
        <v>3</v>
      </c>
      <c r="Q31" s="3">
        <v>2</v>
      </c>
      <c r="R31" s="3">
        <v>5</v>
      </c>
      <c r="S31" s="3">
        <v>4</v>
      </c>
      <c r="T31" s="151">
        <v>12</v>
      </c>
    </row>
    <row r="32" spans="1:20" ht="16" x14ac:dyDescent="0.2">
      <c r="A32" s="181" t="s">
        <v>147</v>
      </c>
      <c r="B32" s="36">
        <f t="shared" si="9"/>
        <v>0</v>
      </c>
      <c r="C32" s="36"/>
      <c r="D32" s="36"/>
      <c r="E32" s="36"/>
      <c r="F32" s="36"/>
      <c r="G32" s="36"/>
      <c r="H32" s="36"/>
      <c r="I32" s="36"/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151">
        <v>12</v>
      </c>
    </row>
    <row r="33" spans="1:20" ht="16" x14ac:dyDescent="0.2">
      <c r="A33" s="181" t="s">
        <v>159</v>
      </c>
      <c r="B33" s="36">
        <f t="shared" si="9"/>
        <v>84</v>
      </c>
      <c r="C33" s="36">
        <f>(M33+O33+P33+Q33+T33+N33)*U33</f>
        <v>0</v>
      </c>
      <c r="D33" s="36">
        <f>(N33+P33+Q33+T33+U33+O33)*V33</f>
        <v>0</v>
      </c>
      <c r="E33" s="36">
        <f>(O33+Q33+T33+U33+V33+P33)*W33</f>
        <v>0</v>
      </c>
      <c r="F33" s="36">
        <f>(P33+T33+U33+V33+W33+Q33)*X33</f>
        <v>0</v>
      </c>
      <c r="G33" s="36">
        <f>(Q33+U33+V33+W33+X33+T33)*Y33</f>
        <v>0</v>
      </c>
      <c r="H33" s="36">
        <f>(T33+V33+W33+X33+Y33+U33)*Z33</f>
        <v>0</v>
      </c>
      <c r="I33" s="36">
        <f>(U33+W33+X33+Y33+Z33+V33)*AA33</f>
        <v>0</v>
      </c>
      <c r="K33" s="3">
        <v>1</v>
      </c>
      <c r="L33" s="3">
        <v>1</v>
      </c>
      <c r="M33" s="3">
        <v>0</v>
      </c>
      <c r="N33" s="3">
        <v>0</v>
      </c>
      <c r="O33" s="3">
        <v>2</v>
      </c>
      <c r="P33" s="3">
        <v>2</v>
      </c>
      <c r="Q33" s="3">
        <v>1</v>
      </c>
      <c r="R33" s="3">
        <v>4</v>
      </c>
      <c r="S33" s="3">
        <v>4</v>
      </c>
      <c r="T33" s="178">
        <v>12</v>
      </c>
    </row>
    <row r="34" spans="1:20" ht="16" x14ac:dyDescent="0.2">
      <c r="A34" s="181" t="s">
        <v>149</v>
      </c>
      <c r="B34" s="36">
        <f t="shared" si="9"/>
        <v>0</v>
      </c>
      <c r="C34" s="36">
        <f>(M34+O34+P34+Q34+T34+N34)*U34</f>
        <v>0</v>
      </c>
      <c r="D34" s="36">
        <f>(N34+P34+Q34+T34+U34+O34)*V34</f>
        <v>0</v>
      </c>
      <c r="E34" s="36">
        <f>(O34+Q34+T34+U34+V34+P34)*W34</f>
        <v>0</v>
      </c>
      <c r="F34" s="36">
        <f>(P34+T34+U34+V34+W34+Q34)*X34</f>
        <v>0</v>
      </c>
      <c r="G34" s="36">
        <f>(Q34+U34+V34+W34+X34+T34)*Y34</f>
        <v>0</v>
      </c>
      <c r="H34" s="36">
        <f>(T34+V34+W34+X34+Y34+U34)*Z34</f>
        <v>0</v>
      </c>
      <c r="I34" s="36">
        <f>(U34+W34+X34+Y34+Z34+V34)*AA34</f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178">
        <v>12</v>
      </c>
    </row>
    <row r="35" spans="1:20" ht="16" x14ac:dyDescent="0.2">
      <c r="A35" s="181" t="s">
        <v>150</v>
      </c>
      <c r="B35" s="36">
        <f t="shared" si="9"/>
        <v>0</v>
      </c>
      <c r="C35" s="36">
        <f>(M35+O35+P35+Q35+T35+N35)*U35</f>
        <v>0</v>
      </c>
      <c r="D35" s="36">
        <f>(N35+P35+Q35+T35+U35+O35)*V35</f>
        <v>0</v>
      </c>
      <c r="E35" s="36">
        <f>(O35+Q35+T35+U35+V35+P35)*W35</f>
        <v>0</v>
      </c>
      <c r="F35" s="36">
        <f>(P35+T35+U35+V35+W35+Q35)*X35</f>
        <v>0</v>
      </c>
      <c r="G35" s="36">
        <f>(Q35+U35+V35+W35+X35+T35)*Y35</f>
        <v>0</v>
      </c>
      <c r="H35" s="36">
        <f>(T35+V35+W35+X35+Y35+U35)*Z35</f>
        <v>0</v>
      </c>
      <c r="I35" s="36"/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178">
        <v>12</v>
      </c>
    </row>
    <row r="36" spans="1:20" ht="16" x14ac:dyDescent="0.2">
      <c r="A36" s="181" t="s">
        <v>151</v>
      </c>
      <c r="B36" s="36">
        <f t="shared" si="9"/>
        <v>48</v>
      </c>
      <c r="C36" s="36">
        <f>(M36+O36+P36+Q36+T36+N36)*U36</f>
        <v>0</v>
      </c>
      <c r="D36" s="36">
        <f>(N36+P36+Q36+T36+U36+O36)*V36</f>
        <v>0</v>
      </c>
      <c r="E36" s="36">
        <f>(O36+Q36+T36+U36+V36+P36)*W36</f>
        <v>0</v>
      </c>
      <c r="F36" s="36">
        <f>(P36+T36+U36+V36+W36+Q36)*X36</f>
        <v>0</v>
      </c>
      <c r="G36" s="36">
        <f>(Q36+U36+V36+W36+X36+T36)*Y36</f>
        <v>0</v>
      </c>
      <c r="H36" s="36">
        <f>(T36+V36+W36+X36+Y36+U36)*Z36</f>
        <v>0</v>
      </c>
      <c r="I36" s="36">
        <f>(U36+W36+X36+Y36+Z36+V36)*AA36</f>
        <v>0</v>
      </c>
      <c r="K36" s="3">
        <v>0</v>
      </c>
      <c r="L36" s="3">
        <v>1</v>
      </c>
      <c r="M36" s="3">
        <v>0</v>
      </c>
      <c r="N36" s="3">
        <v>0</v>
      </c>
      <c r="O36" s="3">
        <v>3</v>
      </c>
      <c r="P36" s="3">
        <v>0</v>
      </c>
      <c r="Q36" s="3">
        <v>0</v>
      </c>
      <c r="R36" s="3">
        <v>1</v>
      </c>
      <c r="S36" s="3">
        <v>1</v>
      </c>
      <c r="T36" s="178">
        <v>12</v>
      </c>
    </row>
    <row r="37" spans="1:20" ht="16" x14ac:dyDescent="0.2">
      <c r="A37" s="181" t="s">
        <v>152</v>
      </c>
      <c r="B37" s="36">
        <f t="shared" si="9"/>
        <v>132</v>
      </c>
      <c r="C37" s="36">
        <f>(M37+O37+P37+Q37+T37+N37)*U37</f>
        <v>0</v>
      </c>
      <c r="D37" s="36">
        <f>(N37+P37+Q37+T37+U37+O37)*V37</f>
        <v>0</v>
      </c>
      <c r="E37" s="36">
        <f>(O37+Q37+T37+U37+V37+P37)*W37</f>
        <v>0</v>
      </c>
      <c r="F37" s="36">
        <f>(P37+T37+U37+V37+W37+Q37)*X37</f>
        <v>0</v>
      </c>
      <c r="G37" s="36">
        <f>(Q37+U37+V37+W37+X37+T37)*Y37</f>
        <v>0</v>
      </c>
      <c r="H37" s="36">
        <f>(T37+V37+W37+X37+Y37+U37)*Z37</f>
        <v>0</v>
      </c>
      <c r="I37" s="36">
        <f>(U37+W37+X37+Y37+Z37+V37)*AA37</f>
        <v>0</v>
      </c>
      <c r="K37" s="3">
        <v>1.5</v>
      </c>
      <c r="L37" s="3">
        <v>1.5</v>
      </c>
      <c r="M37" s="3"/>
      <c r="N37" s="3">
        <v>1</v>
      </c>
      <c r="O37" s="3">
        <v>3</v>
      </c>
      <c r="P37" s="3">
        <v>2</v>
      </c>
      <c r="Q37" s="3">
        <v>2</v>
      </c>
      <c r="R37" s="3">
        <v>3</v>
      </c>
      <c r="S37" s="3">
        <v>4</v>
      </c>
      <c r="T37" s="178">
        <v>12</v>
      </c>
    </row>
    <row r="38" spans="1:20" ht="7.5" customHeight="1" x14ac:dyDescent="0.2">
      <c r="A38" s="193"/>
      <c r="B38" s="195"/>
      <c r="C38" s="195"/>
      <c r="D38" s="195"/>
      <c r="E38" s="195"/>
      <c r="F38" s="195"/>
      <c r="G38" s="195"/>
      <c r="H38" s="195"/>
      <c r="I38" s="195"/>
      <c r="J38" s="194"/>
      <c r="K38" s="193"/>
      <c r="L38" s="193"/>
      <c r="M38" s="193"/>
      <c r="N38" s="193"/>
      <c r="O38" s="193"/>
      <c r="P38" s="193"/>
      <c r="Q38" s="193"/>
      <c r="R38" s="193"/>
      <c r="S38" s="193"/>
      <c r="T38" s="192"/>
    </row>
    <row r="39" spans="1:20" ht="16" x14ac:dyDescent="0.2">
      <c r="A39" s="181" t="s">
        <v>153</v>
      </c>
      <c r="B39" s="36">
        <f>(K39+L39+N39+O39+P39+Q39+M39)*T39</f>
        <v>11</v>
      </c>
      <c r="C39" s="36">
        <f>(M39+O39+P39+Q39+T39+N39)*U39</f>
        <v>0</v>
      </c>
      <c r="D39" s="36">
        <f>(N39+P39+Q39+T39+U39+O39)*V39</f>
        <v>0</v>
      </c>
      <c r="E39" s="36">
        <f>(O39+Q39+T39+U39+V39+P39)*W39</f>
        <v>0</v>
      </c>
      <c r="F39" s="36">
        <f>(P39+T39+U39+V39+W39+Q39)*X39</f>
        <v>0</v>
      </c>
      <c r="G39" s="36">
        <f>(Q39+U39+V39+W39+X39+T39)*Y39</f>
        <v>0</v>
      </c>
      <c r="H39" s="36">
        <f t="shared" ref="H39:I43" si="10">(T39+V39+W39+X39+Y39+U39)*Z39</f>
        <v>0</v>
      </c>
      <c r="I39" s="36">
        <f t="shared" si="10"/>
        <v>0</v>
      </c>
      <c r="K39" s="3">
        <v>0</v>
      </c>
      <c r="L39" s="3">
        <v>0</v>
      </c>
      <c r="M39" s="3">
        <v>0</v>
      </c>
      <c r="N39" s="3">
        <v>1</v>
      </c>
      <c r="O39" s="3">
        <v>0</v>
      </c>
      <c r="P39" s="3">
        <v>0</v>
      </c>
      <c r="Q39" s="3">
        <v>0</v>
      </c>
      <c r="R39" s="3">
        <v>3</v>
      </c>
      <c r="S39" s="3">
        <v>2</v>
      </c>
      <c r="T39" s="178">
        <v>11</v>
      </c>
    </row>
    <row r="40" spans="1:20" ht="16" x14ac:dyDescent="0.2">
      <c r="A40" s="181" t="s">
        <v>154</v>
      </c>
      <c r="B40" s="36">
        <f>(K40+L40+N40+O40+P40+Q40+M40)*T40</f>
        <v>24</v>
      </c>
      <c r="C40" s="36">
        <f>(M40+O40+P40+Q40+T40+N40)*U40</f>
        <v>0</v>
      </c>
      <c r="D40" s="36">
        <f>(N40+P40+Q40+T40+U40+O40)*V40</f>
        <v>0</v>
      </c>
      <c r="E40" s="36">
        <f>(O40+Q40+T40+U40+V40+P40)*W40</f>
        <v>0</v>
      </c>
      <c r="F40" s="36">
        <f>(P40+T40+U40+V40+W40+Q40)*X40</f>
        <v>0</v>
      </c>
      <c r="G40" s="36">
        <f>(Q40+U40+V40+W40+X40+T40)*Y40</f>
        <v>0</v>
      </c>
      <c r="H40" s="36">
        <f t="shared" si="10"/>
        <v>0</v>
      </c>
      <c r="I40" s="36">
        <f t="shared" si="10"/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5</v>
      </c>
      <c r="S40" s="3">
        <v>3</v>
      </c>
      <c r="T40" s="178">
        <v>24</v>
      </c>
    </row>
    <row r="41" spans="1:20" ht="16" x14ac:dyDescent="0.2">
      <c r="A41" s="181" t="s">
        <v>155</v>
      </c>
      <c r="B41" s="36">
        <f>(K41+L41+N41+O41+P41+Q41+M41)*T41</f>
        <v>260</v>
      </c>
      <c r="C41" s="36">
        <f>(M41+O41+P41+Q41+T41+N41)*U41</f>
        <v>0</v>
      </c>
      <c r="D41" s="36">
        <f>(N41+P41+Q41+T41+U41+O41)*V41</f>
        <v>0</v>
      </c>
      <c r="E41" s="36">
        <f>(O41+Q41+T41+U41+V41+P41)*W41</f>
        <v>0</v>
      </c>
      <c r="F41" s="36">
        <f>(P41+T41+U41+V41+W41+Q41)*X41</f>
        <v>0</v>
      </c>
      <c r="G41" s="36">
        <f>(Q41+U41+V41+W41+X41+T41)*Y41</f>
        <v>0</v>
      </c>
      <c r="H41" s="36">
        <f t="shared" si="10"/>
        <v>0</v>
      </c>
      <c r="I41" s="36">
        <f t="shared" si="10"/>
        <v>0</v>
      </c>
      <c r="K41" s="3">
        <v>1</v>
      </c>
      <c r="L41" s="3">
        <v>0</v>
      </c>
      <c r="M41" s="3">
        <v>0</v>
      </c>
      <c r="N41" s="3">
        <v>3</v>
      </c>
      <c r="O41" s="3">
        <v>1</v>
      </c>
      <c r="P41" s="3">
        <v>0</v>
      </c>
      <c r="Q41" s="3">
        <v>0</v>
      </c>
      <c r="R41" s="3">
        <v>3</v>
      </c>
      <c r="S41" s="3">
        <v>3</v>
      </c>
      <c r="T41" s="178">
        <v>52</v>
      </c>
    </row>
    <row r="42" spans="1:20" ht="16" x14ac:dyDescent="0.2">
      <c r="A42" s="181" t="s">
        <v>156</v>
      </c>
      <c r="B42" s="36">
        <f>(K42+L42+N42+O42+P42+Q42+M42)*T42</f>
        <v>104</v>
      </c>
      <c r="C42" s="36">
        <f>(M42+O42+P42+Q42+T42+N42)*U42</f>
        <v>0</v>
      </c>
      <c r="D42" s="36">
        <f>(N42+P42+Q42+T42+U42+O42)*V42</f>
        <v>0</v>
      </c>
      <c r="E42" s="36">
        <f>(O42+Q42+T42+U42+V42+P42)*W42</f>
        <v>0</v>
      </c>
      <c r="F42" s="36">
        <f>(P42+T42+U42+V42+W42+Q42)*X42</f>
        <v>0</v>
      </c>
      <c r="G42" s="36">
        <f>(Q42+U42+V42+W42+X42+T42)*Y42</f>
        <v>0</v>
      </c>
      <c r="H42" s="36">
        <f t="shared" si="10"/>
        <v>0</v>
      </c>
      <c r="I42" s="36">
        <f t="shared" si="10"/>
        <v>0</v>
      </c>
      <c r="K42" s="3">
        <v>0.5</v>
      </c>
      <c r="L42" s="3">
        <v>0</v>
      </c>
      <c r="M42" s="3">
        <v>0</v>
      </c>
      <c r="N42" s="3">
        <v>0.5</v>
      </c>
      <c r="O42" s="3">
        <v>1</v>
      </c>
      <c r="P42" s="3">
        <v>0</v>
      </c>
      <c r="Q42" s="3">
        <v>0</v>
      </c>
      <c r="R42" s="3">
        <v>4</v>
      </c>
      <c r="S42" s="3">
        <v>4</v>
      </c>
      <c r="T42" s="178">
        <v>52</v>
      </c>
    </row>
    <row r="43" spans="1:20" ht="16" x14ac:dyDescent="0.2">
      <c r="A43" s="181" t="s">
        <v>157</v>
      </c>
      <c r="B43" s="36">
        <f>(K43+L43+N43+O43+P43+Q43+M43)*T43</f>
        <v>0</v>
      </c>
      <c r="C43" s="36">
        <f>(M43+O43+P43+Q43+T43+N43)*U43</f>
        <v>0</v>
      </c>
      <c r="D43" s="36">
        <f>(N43+P43+Q43+T43+U43+O43)*V43</f>
        <v>0</v>
      </c>
      <c r="E43" s="36">
        <f>(O43+Q43+T43+U43+V43+P43)*W43</f>
        <v>0</v>
      </c>
      <c r="F43" s="36">
        <f>(P43+T43+U43+V43+W43+Q43)*X43</f>
        <v>0</v>
      </c>
      <c r="G43" s="36">
        <f>(Q43+U43+V43+W43+X43+T43)*Y43</f>
        <v>0</v>
      </c>
      <c r="H43" s="36">
        <f t="shared" si="10"/>
        <v>0</v>
      </c>
      <c r="I43" s="36">
        <f t="shared" si="10"/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178">
        <v>52</v>
      </c>
    </row>
  </sheetData>
  <mergeCells count="1">
    <mergeCell ref="K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6010-E5DC-43B8-BA44-E99C54CFE0C4}">
  <dimension ref="A1:T45"/>
  <sheetViews>
    <sheetView workbookViewId="0">
      <pane xSplit="1" ySplit="2" topLeftCell="B3" activePane="bottomRight" state="frozen"/>
      <selection pane="topRight" activeCell="R3" sqref="R3"/>
      <selection pane="bottomLeft" activeCell="R3" sqref="R3"/>
      <selection pane="bottomRight" activeCell="R3" sqref="R3"/>
    </sheetView>
  </sheetViews>
  <sheetFormatPr baseColWidth="10" defaultColWidth="8.83203125" defaultRowHeight="15" x14ac:dyDescent="0.2"/>
  <cols>
    <col min="1" max="1" width="50.6640625" customWidth="1"/>
    <col min="2" max="2" width="6.83203125" style="178" customWidth="1"/>
    <col min="3" max="5" width="6.83203125" style="178" hidden="1" customWidth="1"/>
    <col min="6" max="6" width="8.83203125" style="178" hidden="1" customWidth="1"/>
    <col min="7" max="9" width="6.83203125" style="178" hidden="1" customWidth="1"/>
    <col min="10" max="10" width="3.5" customWidth="1"/>
    <col min="11" max="13" width="7.5" customWidth="1"/>
    <col min="14" max="14" width="7.83203125" customWidth="1"/>
    <col min="15" max="15" width="7.6640625" customWidth="1"/>
    <col min="16" max="16" width="6.83203125" customWidth="1"/>
    <col min="17" max="17" width="7.1640625" customWidth="1"/>
    <col min="18" max="18" width="8.5" customWidth="1"/>
    <col min="19" max="19" width="5.83203125" customWidth="1"/>
    <col min="20" max="20" width="6.83203125" style="178" customWidth="1"/>
  </cols>
  <sheetData>
    <row r="1" spans="1:20" x14ac:dyDescent="0.2">
      <c r="K1" s="347"/>
      <c r="L1" s="347"/>
      <c r="M1" s="347"/>
      <c r="N1" s="347"/>
      <c r="O1" s="347"/>
      <c r="P1" s="347"/>
      <c r="Q1" s="347"/>
      <c r="R1" s="347"/>
      <c r="S1" s="347"/>
    </row>
    <row r="2" spans="1:20" s="176" customFormat="1" ht="29.5" customHeight="1" x14ac:dyDescent="0.15">
      <c r="A2" s="179" t="s">
        <v>95</v>
      </c>
      <c r="B2" s="184" t="s">
        <v>160</v>
      </c>
      <c r="C2" s="180"/>
      <c r="D2" s="180"/>
      <c r="E2" s="180"/>
      <c r="F2" s="180"/>
      <c r="G2" s="180"/>
      <c r="H2" s="180"/>
      <c r="I2" s="180"/>
      <c r="K2" s="184" t="s">
        <v>133</v>
      </c>
      <c r="L2" s="184" t="s">
        <v>134</v>
      </c>
      <c r="M2" s="184" t="s">
        <v>100</v>
      </c>
      <c r="N2" s="184" t="s">
        <v>135</v>
      </c>
      <c r="O2" s="184" t="s">
        <v>102</v>
      </c>
      <c r="P2" s="184" t="s">
        <v>136</v>
      </c>
      <c r="Q2" s="184" t="s">
        <v>137</v>
      </c>
      <c r="R2" s="184" t="s">
        <v>105</v>
      </c>
      <c r="S2" s="184" t="s">
        <v>106</v>
      </c>
      <c r="T2" s="177" t="s">
        <v>107</v>
      </c>
    </row>
    <row r="3" spans="1:20" ht="16" x14ac:dyDescent="0.2">
      <c r="A3" s="181" t="s">
        <v>138</v>
      </c>
      <c r="B3" s="36">
        <f t="shared" ref="B3:B23" si="0">(K3+L3+N3+O3+P3+Q3+M3)*T3</f>
        <v>72</v>
      </c>
      <c r="C3" s="36"/>
      <c r="D3" s="36"/>
      <c r="E3" s="36"/>
      <c r="F3" s="36"/>
      <c r="G3" s="36"/>
      <c r="H3" s="36">
        <f>(T3+V3+W3+X3+Y3+U3)*Z3</f>
        <v>0</v>
      </c>
      <c r="I3" s="36"/>
      <c r="K3" s="3"/>
      <c r="L3" s="3"/>
      <c r="M3" s="3"/>
      <c r="N3" s="3"/>
      <c r="O3" s="3"/>
      <c r="P3" s="3">
        <v>1.5</v>
      </c>
      <c r="Q3" s="3"/>
      <c r="R3" s="3">
        <v>3</v>
      </c>
      <c r="S3" s="3">
        <v>3</v>
      </c>
      <c r="T3" s="178">
        <v>48</v>
      </c>
    </row>
    <row r="4" spans="1:20" ht="16" x14ac:dyDescent="0.2">
      <c r="A4" s="181" t="s">
        <v>17</v>
      </c>
      <c r="B4" s="36">
        <f t="shared" si="0"/>
        <v>58</v>
      </c>
      <c r="C4" s="36">
        <f t="shared" ref="C4:C23" si="1">(M4+O4+P4+Q4+T4+N4)*U4</f>
        <v>0</v>
      </c>
      <c r="D4" s="36">
        <f t="shared" ref="D4:D23" si="2">(N4+P4+Q4+T4+U4+O4)*V4</f>
        <v>0</v>
      </c>
      <c r="E4" s="36">
        <f t="shared" ref="E4:E23" si="3">(O4+Q4+T4+U4+V4+P4)*W4</f>
        <v>0</v>
      </c>
      <c r="F4" s="36">
        <f t="shared" ref="F4:F23" si="4">(P4+T4+U4+V4+W4+Q4)*X4</f>
        <v>0</v>
      </c>
      <c r="G4" s="36">
        <f t="shared" ref="G4:G23" si="5">(Q4+U4+V4+W4+X4+T4)*Y4</f>
        <v>0</v>
      </c>
      <c r="H4" s="36">
        <f>(T4+V4+W4+X4+Y4+U4)*Z4</f>
        <v>0</v>
      </c>
      <c r="I4" s="36">
        <f>(U4+W4+X4+Y4+Z4+V4)*AA4</f>
        <v>0</v>
      </c>
      <c r="K4" s="3"/>
      <c r="L4" s="3">
        <v>8</v>
      </c>
      <c r="M4" s="3">
        <v>30</v>
      </c>
      <c r="N4" s="3">
        <v>1</v>
      </c>
      <c r="O4" s="3">
        <v>1</v>
      </c>
      <c r="P4" s="3">
        <v>12</v>
      </c>
      <c r="Q4" s="3">
        <v>6</v>
      </c>
      <c r="R4" s="3">
        <v>5</v>
      </c>
      <c r="S4" s="3">
        <v>2</v>
      </c>
      <c r="T4" s="151">
        <v>1</v>
      </c>
    </row>
    <row r="5" spans="1:20" ht="16" x14ac:dyDescent="0.2">
      <c r="A5" s="181" t="s">
        <v>9</v>
      </c>
      <c r="B5" s="36">
        <f t="shared" si="0"/>
        <v>59</v>
      </c>
      <c r="C5" s="36">
        <f t="shared" si="1"/>
        <v>0</v>
      </c>
      <c r="D5" s="36">
        <f t="shared" si="2"/>
        <v>0</v>
      </c>
      <c r="E5" s="36">
        <f t="shared" si="3"/>
        <v>0</v>
      </c>
      <c r="F5" s="36">
        <f t="shared" si="4"/>
        <v>0</v>
      </c>
      <c r="G5" s="36">
        <f t="shared" si="5"/>
        <v>0</v>
      </c>
      <c r="H5" s="36">
        <f>(T5+V5+W5+X5+Y5+U5)*Z5</f>
        <v>0</v>
      </c>
      <c r="I5" s="36">
        <f>(U5+W5+X5+Y5+Z5+V5)*AA5</f>
        <v>0</v>
      </c>
      <c r="K5" s="3">
        <v>6</v>
      </c>
      <c r="L5" s="3">
        <v>8</v>
      </c>
      <c r="M5" s="3">
        <v>30</v>
      </c>
      <c r="N5" s="3">
        <v>2</v>
      </c>
      <c r="O5" s="3">
        <v>1</v>
      </c>
      <c r="P5" s="3">
        <v>6</v>
      </c>
      <c r="Q5" s="3">
        <v>6</v>
      </c>
      <c r="R5" s="3">
        <v>5</v>
      </c>
      <c r="S5" s="3">
        <v>2</v>
      </c>
      <c r="T5" s="151">
        <v>1</v>
      </c>
    </row>
    <row r="6" spans="1:20" ht="16" x14ac:dyDescent="0.2">
      <c r="A6" s="181" t="s">
        <v>20</v>
      </c>
      <c r="B6" s="36">
        <f t="shared" si="0"/>
        <v>47</v>
      </c>
      <c r="C6" s="36">
        <f t="shared" si="1"/>
        <v>0</v>
      </c>
      <c r="D6" s="36">
        <f t="shared" si="2"/>
        <v>0</v>
      </c>
      <c r="E6" s="36">
        <f t="shared" si="3"/>
        <v>0</v>
      </c>
      <c r="F6" s="36">
        <f t="shared" si="4"/>
        <v>0</v>
      </c>
      <c r="G6" s="36">
        <f t="shared" si="5"/>
        <v>0</v>
      </c>
      <c r="H6" s="36">
        <f>(T6+V6+W6+X6+Y6+U6)*Z6</f>
        <v>0</v>
      </c>
      <c r="I6" s="36">
        <f>(U6+W6+X6+Y6+Z6+V6)*AA6</f>
        <v>0</v>
      </c>
      <c r="K6" s="3"/>
      <c r="L6" s="3">
        <v>5</v>
      </c>
      <c r="M6" s="3">
        <v>30</v>
      </c>
      <c r="N6" s="3">
        <v>1</v>
      </c>
      <c r="O6" s="3"/>
      <c r="P6" s="3">
        <v>5</v>
      </c>
      <c r="Q6" s="3">
        <v>6</v>
      </c>
      <c r="R6" s="3">
        <v>5</v>
      </c>
      <c r="S6" s="3">
        <v>3</v>
      </c>
      <c r="T6" s="151">
        <v>1</v>
      </c>
    </row>
    <row r="7" spans="1:20" ht="16" x14ac:dyDescent="0.2">
      <c r="A7" s="181" t="s">
        <v>109</v>
      </c>
      <c r="B7" s="36">
        <f t="shared" si="0"/>
        <v>0</v>
      </c>
      <c r="C7" s="36">
        <f t="shared" si="1"/>
        <v>0</v>
      </c>
      <c r="D7" s="36">
        <f t="shared" si="2"/>
        <v>0</v>
      </c>
      <c r="E7" s="36">
        <f t="shared" si="3"/>
        <v>0</v>
      </c>
      <c r="F7" s="36">
        <f t="shared" si="4"/>
        <v>0</v>
      </c>
      <c r="G7" s="36">
        <f t="shared" si="5"/>
        <v>0</v>
      </c>
      <c r="H7" s="36">
        <f>(T7+V7+W7+X7+Y7+U7)*Z7</f>
        <v>0</v>
      </c>
      <c r="I7" s="36">
        <f>(U7+W7+X7+Y7+Z7+V7)*AA7</f>
        <v>0</v>
      </c>
      <c r="K7" s="3"/>
      <c r="L7" s="3"/>
      <c r="M7" s="3"/>
      <c r="N7" s="3"/>
      <c r="O7" s="3"/>
      <c r="P7" s="3"/>
      <c r="Q7" s="3"/>
      <c r="R7" s="3"/>
      <c r="S7" s="3"/>
      <c r="T7" s="178">
        <v>1</v>
      </c>
    </row>
    <row r="8" spans="1:20" ht="16" x14ac:dyDescent="0.2">
      <c r="A8" s="181" t="s">
        <v>139</v>
      </c>
      <c r="B8" s="36">
        <f t="shared" si="0"/>
        <v>0</v>
      </c>
      <c r="C8" s="36">
        <f t="shared" si="1"/>
        <v>0</v>
      </c>
      <c r="D8" s="36">
        <f t="shared" si="2"/>
        <v>0</v>
      </c>
      <c r="E8" s="36">
        <f t="shared" si="3"/>
        <v>0</v>
      </c>
      <c r="F8" s="36">
        <f t="shared" si="4"/>
        <v>0</v>
      </c>
      <c r="G8" s="36">
        <f t="shared" si="5"/>
        <v>0</v>
      </c>
      <c r="H8" s="36"/>
      <c r="I8" s="36"/>
      <c r="K8" s="3"/>
      <c r="L8" s="3"/>
      <c r="M8" s="3"/>
      <c r="N8" s="3"/>
      <c r="O8" s="3"/>
      <c r="P8" s="3"/>
      <c r="Q8" s="3"/>
      <c r="R8" s="3"/>
      <c r="S8" s="3"/>
      <c r="T8" s="178">
        <v>9</v>
      </c>
    </row>
    <row r="9" spans="1:20" ht="16" x14ac:dyDescent="0.2">
      <c r="A9" s="181" t="s">
        <v>21</v>
      </c>
      <c r="B9" s="36">
        <f t="shared" si="0"/>
        <v>20</v>
      </c>
      <c r="C9" s="36">
        <f t="shared" si="1"/>
        <v>0</v>
      </c>
      <c r="D9" s="36">
        <f t="shared" si="2"/>
        <v>0</v>
      </c>
      <c r="E9" s="36">
        <f t="shared" si="3"/>
        <v>0</v>
      </c>
      <c r="F9" s="36">
        <f t="shared" si="4"/>
        <v>0</v>
      </c>
      <c r="G9" s="36">
        <f t="shared" si="5"/>
        <v>0</v>
      </c>
      <c r="H9" s="36">
        <f t="shared" ref="H9:I15" si="6">(T9+V9+W9+X9+Y9+U9)*Z9</f>
        <v>0</v>
      </c>
      <c r="I9" s="36">
        <f t="shared" si="6"/>
        <v>0</v>
      </c>
      <c r="K9" s="3"/>
      <c r="L9" s="3">
        <v>3</v>
      </c>
      <c r="M9" s="3">
        <v>15</v>
      </c>
      <c r="N9" s="3"/>
      <c r="O9" s="3"/>
      <c r="P9" s="3"/>
      <c r="Q9" s="3">
        <v>2</v>
      </c>
      <c r="R9" s="3">
        <v>5</v>
      </c>
      <c r="S9" s="3">
        <v>4</v>
      </c>
      <c r="T9" s="178">
        <v>1</v>
      </c>
    </row>
    <row r="10" spans="1:20" ht="16" x14ac:dyDescent="0.2">
      <c r="A10" s="181" t="s">
        <v>25</v>
      </c>
      <c r="B10" s="36">
        <f t="shared" si="0"/>
        <v>82</v>
      </c>
      <c r="C10" s="36">
        <f t="shared" si="1"/>
        <v>0</v>
      </c>
      <c r="D10" s="36">
        <f t="shared" si="2"/>
        <v>0</v>
      </c>
      <c r="E10" s="36">
        <f t="shared" si="3"/>
        <v>0</v>
      </c>
      <c r="F10" s="36">
        <f t="shared" si="4"/>
        <v>0</v>
      </c>
      <c r="G10" s="36">
        <f t="shared" si="5"/>
        <v>0</v>
      </c>
      <c r="H10" s="36">
        <f t="shared" si="6"/>
        <v>0</v>
      </c>
      <c r="I10" s="36">
        <f t="shared" si="6"/>
        <v>0</v>
      </c>
      <c r="K10" s="3">
        <v>4</v>
      </c>
      <c r="L10" s="3">
        <v>8</v>
      </c>
      <c r="M10" s="3">
        <v>50</v>
      </c>
      <c r="N10" s="3">
        <v>2</v>
      </c>
      <c r="O10" s="3"/>
      <c r="P10" s="3">
        <v>10</v>
      </c>
      <c r="Q10" s="3">
        <v>8</v>
      </c>
      <c r="R10" s="3">
        <v>5</v>
      </c>
      <c r="S10" s="3">
        <v>2</v>
      </c>
      <c r="T10" s="178">
        <v>1</v>
      </c>
    </row>
    <row r="11" spans="1:20" ht="16" x14ac:dyDescent="0.2">
      <c r="A11" s="181" t="s">
        <v>27</v>
      </c>
      <c r="B11" s="36">
        <f t="shared" si="0"/>
        <v>13</v>
      </c>
      <c r="C11" s="36">
        <f t="shared" si="1"/>
        <v>0</v>
      </c>
      <c r="D11" s="36">
        <f t="shared" si="2"/>
        <v>0</v>
      </c>
      <c r="E11" s="36">
        <f t="shared" si="3"/>
        <v>0</v>
      </c>
      <c r="F11" s="36">
        <f t="shared" si="4"/>
        <v>0</v>
      </c>
      <c r="G11" s="36">
        <f t="shared" si="5"/>
        <v>0</v>
      </c>
      <c r="H11" s="36">
        <f t="shared" si="6"/>
        <v>0</v>
      </c>
      <c r="I11" s="36">
        <f t="shared" si="6"/>
        <v>0</v>
      </c>
      <c r="K11" s="3"/>
      <c r="L11" s="3">
        <v>3</v>
      </c>
      <c r="M11" s="3">
        <v>5</v>
      </c>
      <c r="N11" s="3"/>
      <c r="O11" s="3"/>
      <c r="P11" s="3">
        <v>3</v>
      </c>
      <c r="Q11" s="3">
        <v>2</v>
      </c>
      <c r="R11" s="3">
        <v>5</v>
      </c>
      <c r="S11" s="3">
        <v>3</v>
      </c>
      <c r="T11" s="178">
        <v>1</v>
      </c>
    </row>
    <row r="12" spans="1:20" ht="16" x14ac:dyDescent="0.2">
      <c r="A12" s="181" t="s">
        <v>28</v>
      </c>
      <c r="B12" s="36">
        <f t="shared" si="0"/>
        <v>11</v>
      </c>
      <c r="C12" s="36">
        <f t="shared" si="1"/>
        <v>0</v>
      </c>
      <c r="D12" s="36">
        <f t="shared" si="2"/>
        <v>0</v>
      </c>
      <c r="E12" s="36">
        <f t="shared" si="3"/>
        <v>0</v>
      </c>
      <c r="F12" s="36">
        <f t="shared" si="4"/>
        <v>0</v>
      </c>
      <c r="G12" s="36">
        <f t="shared" si="5"/>
        <v>0</v>
      </c>
      <c r="H12" s="36">
        <f t="shared" si="6"/>
        <v>0</v>
      </c>
      <c r="I12" s="36">
        <f t="shared" si="6"/>
        <v>0</v>
      </c>
      <c r="K12" s="3"/>
      <c r="L12" s="3">
        <v>3</v>
      </c>
      <c r="M12" s="3">
        <v>5</v>
      </c>
      <c r="N12" s="3"/>
      <c r="O12" s="3"/>
      <c r="P12" s="3">
        <v>2</v>
      </c>
      <c r="Q12" s="3">
        <v>1</v>
      </c>
      <c r="R12" s="3">
        <v>5</v>
      </c>
      <c r="S12" s="3">
        <v>3</v>
      </c>
      <c r="T12" s="178">
        <v>1</v>
      </c>
    </row>
    <row r="13" spans="1:20" ht="16" x14ac:dyDescent="0.2">
      <c r="A13" s="181" t="s">
        <v>47</v>
      </c>
      <c r="B13" s="36">
        <f t="shared" si="0"/>
        <v>56</v>
      </c>
      <c r="C13" s="36">
        <f t="shared" si="1"/>
        <v>0</v>
      </c>
      <c r="D13" s="36">
        <f t="shared" si="2"/>
        <v>0</v>
      </c>
      <c r="E13" s="36">
        <f t="shared" si="3"/>
        <v>0</v>
      </c>
      <c r="F13" s="36">
        <f t="shared" si="4"/>
        <v>0</v>
      </c>
      <c r="G13" s="36">
        <f t="shared" si="5"/>
        <v>0</v>
      </c>
      <c r="H13" s="36">
        <f t="shared" si="6"/>
        <v>0</v>
      </c>
      <c r="I13" s="36">
        <f t="shared" si="6"/>
        <v>0</v>
      </c>
      <c r="K13" s="3">
        <v>4</v>
      </c>
      <c r="L13" s="3">
        <v>8</v>
      </c>
      <c r="M13" s="3">
        <v>30</v>
      </c>
      <c r="N13" s="3"/>
      <c r="O13" s="3"/>
      <c r="P13" s="3">
        <v>8</v>
      </c>
      <c r="Q13" s="3">
        <v>6</v>
      </c>
      <c r="R13" s="3">
        <v>4</v>
      </c>
      <c r="S13" s="3">
        <v>2</v>
      </c>
      <c r="T13" s="178">
        <v>1</v>
      </c>
    </row>
    <row r="14" spans="1:20" ht="16" x14ac:dyDescent="0.2">
      <c r="A14" s="181" t="s">
        <v>12</v>
      </c>
      <c r="B14" s="36">
        <f t="shared" si="0"/>
        <v>64</v>
      </c>
      <c r="C14" s="36">
        <f t="shared" si="1"/>
        <v>0</v>
      </c>
      <c r="D14" s="36">
        <f t="shared" si="2"/>
        <v>0</v>
      </c>
      <c r="E14" s="36">
        <f t="shared" si="3"/>
        <v>0</v>
      </c>
      <c r="F14" s="36">
        <f t="shared" si="4"/>
        <v>0</v>
      </c>
      <c r="G14" s="36">
        <f t="shared" si="5"/>
        <v>0</v>
      </c>
      <c r="H14" s="36">
        <f t="shared" si="6"/>
        <v>0</v>
      </c>
      <c r="I14" s="36">
        <f t="shared" si="6"/>
        <v>0</v>
      </c>
      <c r="K14" s="3">
        <v>8</v>
      </c>
      <c r="L14" s="3">
        <v>8</v>
      </c>
      <c r="M14" s="3">
        <v>30</v>
      </c>
      <c r="N14" s="3"/>
      <c r="O14" s="3"/>
      <c r="P14" s="3">
        <v>10</v>
      </c>
      <c r="Q14" s="3">
        <v>8</v>
      </c>
      <c r="R14" s="3">
        <v>3</v>
      </c>
      <c r="S14" s="3">
        <v>2</v>
      </c>
      <c r="T14" s="178">
        <v>1</v>
      </c>
    </row>
    <row r="15" spans="1:20" ht="16" x14ac:dyDescent="0.2">
      <c r="A15" s="181" t="s">
        <v>110</v>
      </c>
      <c r="B15" s="36">
        <f t="shared" si="0"/>
        <v>10</v>
      </c>
      <c r="C15" s="36">
        <f t="shared" si="1"/>
        <v>0</v>
      </c>
      <c r="D15" s="36">
        <f t="shared" si="2"/>
        <v>0</v>
      </c>
      <c r="E15" s="36">
        <f t="shared" si="3"/>
        <v>0</v>
      </c>
      <c r="F15" s="36">
        <f t="shared" si="4"/>
        <v>0</v>
      </c>
      <c r="G15" s="36">
        <f t="shared" si="5"/>
        <v>0</v>
      </c>
      <c r="H15" s="36">
        <f t="shared" si="6"/>
        <v>0</v>
      </c>
      <c r="I15" s="36">
        <f t="shared" si="6"/>
        <v>0</v>
      </c>
      <c r="K15" s="3"/>
      <c r="L15" s="3"/>
      <c r="M15" s="3">
        <v>5</v>
      </c>
      <c r="N15" s="3"/>
      <c r="O15" s="3"/>
      <c r="P15" s="3">
        <v>3</v>
      </c>
      <c r="Q15" s="3">
        <v>2</v>
      </c>
      <c r="R15" s="3">
        <v>4</v>
      </c>
      <c r="S15" s="3">
        <v>3</v>
      </c>
      <c r="T15" s="178">
        <v>1</v>
      </c>
    </row>
    <row r="16" spans="1:20" ht="16" x14ac:dyDescent="0.2">
      <c r="A16" s="181" t="s">
        <v>111</v>
      </c>
      <c r="B16" s="36">
        <f t="shared" si="0"/>
        <v>10</v>
      </c>
      <c r="C16" s="36">
        <f t="shared" si="1"/>
        <v>0</v>
      </c>
      <c r="D16" s="36">
        <f t="shared" si="2"/>
        <v>0</v>
      </c>
      <c r="E16" s="36">
        <f t="shared" si="3"/>
        <v>0</v>
      </c>
      <c r="F16" s="36">
        <f t="shared" si="4"/>
        <v>0</v>
      </c>
      <c r="G16" s="36">
        <f t="shared" si="5"/>
        <v>0</v>
      </c>
      <c r="H16" s="36">
        <f t="shared" ref="H16:H23" si="7">(T16+V16+W16+X16+Y16+U16)*Z16</f>
        <v>0</v>
      </c>
      <c r="I16" s="36"/>
      <c r="K16" s="3"/>
      <c r="L16" s="3"/>
      <c r="M16" s="3">
        <v>5</v>
      </c>
      <c r="N16" s="3"/>
      <c r="O16" s="3"/>
      <c r="P16" s="3">
        <v>3</v>
      </c>
      <c r="Q16" s="3">
        <v>2</v>
      </c>
      <c r="R16" s="3">
        <v>4</v>
      </c>
      <c r="S16" s="3">
        <v>3</v>
      </c>
      <c r="T16" s="178">
        <v>1</v>
      </c>
    </row>
    <row r="17" spans="1:20" ht="16" x14ac:dyDescent="0.2">
      <c r="A17" s="181" t="s">
        <v>49</v>
      </c>
      <c r="B17" s="36">
        <f t="shared" si="0"/>
        <v>34</v>
      </c>
      <c r="C17" s="36">
        <f t="shared" si="1"/>
        <v>0</v>
      </c>
      <c r="D17" s="36">
        <f t="shared" si="2"/>
        <v>0</v>
      </c>
      <c r="E17" s="36">
        <f t="shared" si="3"/>
        <v>0</v>
      </c>
      <c r="F17" s="36">
        <f t="shared" si="4"/>
        <v>0</v>
      </c>
      <c r="G17" s="36">
        <f t="shared" si="5"/>
        <v>0</v>
      </c>
      <c r="H17" s="36">
        <f t="shared" si="7"/>
        <v>0</v>
      </c>
      <c r="I17" s="36">
        <f t="shared" ref="I17:I23" si="8">(U17+W17+X17+Y17+Z17+V17)*AA17</f>
        <v>0</v>
      </c>
      <c r="K17" s="3">
        <v>4</v>
      </c>
      <c r="L17" s="3">
        <v>2</v>
      </c>
      <c r="M17" s="3">
        <v>5</v>
      </c>
      <c r="N17" s="3"/>
      <c r="O17" s="3"/>
      <c r="P17" s="3">
        <v>4</v>
      </c>
      <c r="Q17" s="3">
        <v>2</v>
      </c>
      <c r="R17" s="3">
        <v>4</v>
      </c>
      <c r="S17" s="3">
        <v>3</v>
      </c>
      <c r="T17" s="151">
        <v>2</v>
      </c>
    </row>
    <row r="18" spans="1:20" ht="16" x14ac:dyDescent="0.2">
      <c r="A18" s="181" t="s">
        <v>30</v>
      </c>
      <c r="B18" s="36">
        <f t="shared" si="0"/>
        <v>19</v>
      </c>
      <c r="C18" s="36">
        <f t="shared" si="1"/>
        <v>0</v>
      </c>
      <c r="D18" s="36">
        <f t="shared" si="2"/>
        <v>0</v>
      </c>
      <c r="E18" s="36">
        <f t="shared" si="3"/>
        <v>0</v>
      </c>
      <c r="F18" s="36">
        <f t="shared" si="4"/>
        <v>0</v>
      </c>
      <c r="G18" s="36">
        <f t="shared" si="5"/>
        <v>0</v>
      </c>
      <c r="H18" s="36">
        <f t="shared" si="7"/>
        <v>0</v>
      </c>
      <c r="I18" s="36">
        <f t="shared" si="8"/>
        <v>0</v>
      </c>
      <c r="K18" s="3">
        <v>1</v>
      </c>
      <c r="L18" s="3"/>
      <c r="M18" s="3">
        <v>15</v>
      </c>
      <c r="N18" s="3"/>
      <c r="O18" s="3"/>
      <c r="P18" s="3">
        <v>2.5</v>
      </c>
      <c r="Q18" s="3">
        <v>0.5</v>
      </c>
      <c r="R18" s="3">
        <v>5</v>
      </c>
      <c r="S18" s="3">
        <v>5</v>
      </c>
      <c r="T18" s="178">
        <v>1</v>
      </c>
    </row>
    <row r="19" spans="1:20" ht="16" hidden="1" x14ac:dyDescent="0.2">
      <c r="A19" s="182" t="s">
        <v>40</v>
      </c>
      <c r="B19" s="36">
        <f t="shared" si="0"/>
        <v>0</v>
      </c>
      <c r="C19" s="36">
        <f t="shared" si="1"/>
        <v>0</v>
      </c>
      <c r="D19" s="36">
        <f t="shared" si="2"/>
        <v>0</v>
      </c>
      <c r="E19" s="36">
        <f t="shared" si="3"/>
        <v>0</v>
      </c>
      <c r="F19" s="36">
        <f t="shared" si="4"/>
        <v>0</v>
      </c>
      <c r="G19" s="36">
        <f t="shared" si="5"/>
        <v>0</v>
      </c>
      <c r="H19" s="36">
        <f t="shared" si="7"/>
        <v>0</v>
      </c>
      <c r="I19" s="36">
        <f t="shared" si="8"/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 spans="1:20" ht="16" hidden="1" x14ac:dyDescent="0.2">
      <c r="A20" s="182" t="s">
        <v>42</v>
      </c>
      <c r="B20" s="36">
        <f t="shared" si="0"/>
        <v>0</v>
      </c>
      <c r="C20" s="36">
        <f t="shared" si="1"/>
        <v>0</v>
      </c>
      <c r="D20" s="36">
        <f t="shared" si="2"/>
        <v>0</v>
      </c>
      <c r="E20" s="36">
        <f t="shared" si="3"/>
        <v>0</v>
      </c>
      <c r="F20" s="36">
        <f t="shared" si="4"/>
        <v>0</v>
      </c>
      <c r="G20" s="36">
        <f t="shared" si="5"/>
        <v>0</v>
      </c>
      <c r="H20" s="36">
        <f t="shared" si="7"/>
        <v>0</v>
      </c>
      <c r="I20" s="36">
        <f t="shared" si="8"/>
        <v>0</v>
      </c>
      <c r="K20" s="3"/>
      <c r="L20" s="3"/>
      <c r="M20" s="3"/>
      <c r="N20" s="3"/>
      <c r="O20" s="3"/>
      <c r="P20" s="3"/>
      <c r="Q20" s="3"/>
      <c r="R20" s="3"/>
      <c r="S20" s="3"/>
    </row>
    <row r="21" spans="1:20" ht="16" hidden="1" x14ac:dyDescent="0.2">
      <c r="A21" s="182" t="s">
        <v>43</v>
      </c>
      <c r="B21" s="36">
        <f t="shared" si="0"/>
        <v>0</v>
      </c>
      <c r="C21" s="36">
        <f t="shared" si="1"/>
        <v>0</v>
      </c>
      <c r="D21" s="36">
        <f t="shared" si="2"/>
        <v>0</v>
      </c>
      <c r="E21" s="36">
        <f t="shared" si="3"/>
        <v>0</v>
      </c>
      <c r="F21" s="36">
        <f t="shared" si="4"/>
        <v>0</v>
      </c>
      <c r="G21" s="36">
        <f t="shared" si="5"/>
        <v>0</v>
      </c>
      <c r="H21" s="36">
        <f t="shared" si="7"/>
        <v>0</v>
      </c>
      <c r="I21" s="36">
        <f t="shared" si="8"/>
        <v>0</v>
      </c>
      <c r="K21" s="3"/>
      <c r="L21" s="3"/>
      <c r="M21" s="3"/>
      <c r="N21" s="3"/>
      <c r="O21" s="3"/>
      <c r="P21" s="3"/>
      <c r="Q21" s="3"/>
      <c r="R21" s="3"/>
      <c r="S21" s="3"/>
    </row>
    <row r="22" spans="1:20" ht="16" x14ac:dyDescent="0.2">
      <c r="A22" s="181" t="s">
        <v>140</v>
      </c>
      <c r="B22" s="36">
        <f t="shared" si="0"/>
        <v>58</v>
      </c>
      <c r="C22" s="36">
        <f t="shared" si="1"/>
        <v>0</v>
      </c>
      <c r="D22" s="36">
        <f t="shared" si="2"/>
        <v>0</v>
      </c>
      <c r="E22" s="36">
        <f t="shared" si="3"/>
        <v>0</v>
      </c>
      <c r="F22" s="36">
        <f t="shared" si="4"/>
        <v>0</v>
      </c>
      <c r="G22" s="36">
        <f t="shared" si="5"/>
        <v>0</v>
      </c>
      <c r="H22" s="36">
        <f t="shared" si="7"/>
        <v>0</v>
      </c>
      <c r="I22" s="36">
        <f t="shared" si="8"/>
        <v>0</v>
      </c>
      <c r="K22" s="3"/>
      <c r="L22" s="3"/>
      <c r="M22" s="3">
        <v>12</v>
      </c>
      <c r="N22" s="3"/>
      <c r="O22" s="3"/>
      <c r="P22" s="3">
        <v>2</v>
      </c>
      <c r="Q22" s="3">
        <v>0.5</v>
      </c>
      <c r="R22" s="3">
        <v>4</v>
      </c>
      <c r="S22" s="3">
        <v>4</v>
      </c>
      <c r="T22" s="151">
        <v>4</v>
      </c>
    </row>
    <row r="23" spans="1:20" ht="16" x14ac:dyDescent="0.2">
      <c r="A23" s="181" t="s">
        <v>41</v>
      </c>
      <c r="B23" s="36">
        <f t="shared" si="0"/>
        <v>12</v>
      </c>
      <c r="C23" s="36">
        <f t="shared" si="1"/>
        <v>0</v>
      </c>
      <c r="D23" s="36">
        <f t="shared" si="2"/>
        <v>0</v>
      </c>
      <c r="E23" s="36">
        <f t="shared" si="3"/>
        <v>0</v>
      </c>
      <c r="F23" s="36">
        <f t="shared" si="4"/>
        <v>0</v>
      </c>
      <c r="G23" s="36">
        <f t="shared" si="5"/>
        <v>0</v>
      </c>
      <c r="H23" s="36">
        <f t="shared" si="7"/>
        <v>0</v>
      </c>
      <c r="I23" s="36">
        <f t="shared" si="8"/>
        <v>0</v>
      </c>
      <c r="K23" s="3">
        <v>4</v>
      </c>
      <c r="L23" s="3">
        <v>2</v>
      </c>
      <c r="M23" s="3"/>
      <c r="N23" s="3"/>
      <c r="O23" s="3"/>
      <c r="P23" s="3">
        <v>4</v>
      </c>
      <c r="Q23" s="3">
        <v>2</v>
      </c>
      <c r="R23" s="3">
        <v>3</v>
      </c>
      <c r="S23" s="3">
        <v>3</v>
      </c>
      <c r="T23" s="151">
        <v>1</v>
      </c>
    </row>
    <row r="24" spans="1:20" ht="9" customHeight="1" x14ac:dyDescent="0.2">
      <c r="A24" s="196"/>
      <c r="B24" s="195"/>
      <c r="C24" s="195"/>
      <c r="D24" s="195"/>
      <c r="E24" s="195"/>
      <c r="F24" s="195"/>
      <c r="G24" s="195"/>
      <c r="H24" s="195"/>
      <c r="I24" s="195"/>
      <c r="J24" s="194"/>
      <c r="K24" s="193"/>
      <c r="L24" s="193"/>
      <c r="M24" s="193"/>
      <c r="N24" s="193"/>
      <c r="O24" s="193"/>
      <c r="P24" s="193"/>
      <c r="Q24" s="193"/>
      <c r="R24" s="193"/>
      <c r="S24" s="193"/>
      <c r="T24" s="192"/>
    </row>
    <row r="25" spans="1:20" ht="16" x14ac:dyDescent="0.2">
      <c r="A25" s="181" t="s">
        <v>141</v>
      </c>
      <c r="B25" s="36">
        <f>(K25+L25+N25+O25+P25+Q25+M25)*T25</f>
        <v>0</v>
      </c>
      <c r="C25" s="36"/>
      <c r="D25" s="36"/>
      <c r="E25" s="36"/>
      <c r="F25" s="36"/>
      <c r="G25" s="36"/>
      <c r="H25" s="36"/>
      <c r="I25" s="36"/>
      <c r="K25" s="3"/>
      <c r="L25" s="3"/>
      <c r="M25" s="3"/>
      <c r="N25" s="3"/>
      <c r="O25" s="3"/>
      <c r="P25" s="3"/>
      <c r="Q25" s="3"/>
      <c r="R25" s="3"/>
      <c r="S25" s="3"/>
      <c r="T25" s="178">
        <v>12</v>
      </c>
    </row>
    <row r="26" spans="1:20" ht="16" x14ac:dyDescent="0.2">
      <c r="A26" s="181" t="s">
        <v>142</v>
      </c>
      <c r="B26" s="36">
        <f>(K26+L26+N26+O26+P26+Q26+M26)*T26</f>
        <v>0</v>
      </c>
      <c r="C26" s="36"/>
      <c r="D26" s="36"/>
      <c r="E26" s="36"/>
      <c r="F26" s="36"/>
      <c r="G26" s="36"/>
      <c r="H26" s="36"/>
      <c r="I26" s="36"/>
      <c r="K26" s="3"/>
      <c r="L26" s="3"/>
      <c r="M26" s="3"/>
      <c r="N26" s="3"/>
      <c r="O26" s="3"/>
      <c r="P26" s="3"/>
      <c r="Q26" s="3"/>
      <c r="R26" s="3"/>
      <c r="S26" s="3"/>
      <c r="T26" s="178">
        <v>12</v>
      </c>
    </row>
    <row r="27" spans="1:20" ht="16" x14ac:dyDescent="0.2">
      <c r="A27" s="181" t="s">
        <v>143</v>
      </c>
      <c r="B27" s="36">
        <f>(K27+L27+N27+O27+P27+Q27+M27)*T27</f>
        <v>27</v>
      </c>
      <c r="C27" s="36"/>
      <c r="D27" s="36"/>
      <c r="E27" s="36"/>
      <c r="F27" s="36"/>
      <c r="G27" s="36"/>
      <c r="H27" s="36"/>
      <c r="I27" s="36"/>
      <c r="K27" s="3">
        <v>0.25</v>
      </c>
      <c r="L27" s="3"/>
      <c r="M27" s="3"/>
      <c r="N27" s="3"/>
      <c r="O27" s="3"/>
      <c r="P27" s="3">
        <v>1.5</v>
      </c>
      <c r="Q27" s="3">
        <v>0.5</v>
      </c>
      <c r="R27" s="3">
        <v>4</v>
      </c>
      <c r="S27" s="3">
        <v>4</v>
      </c>
      <c r="T27" s="178">
        <v>12</v>
      </c>
    </row>
    <row r="28" spans="1:20" ht="16" x14ac:dyDescent="0.2">
      <c r="A28" s="181" t="s">
        <v>144</v>
      </c>
      <c r="B28" s="36">
        <f>(K28+L28+N28+O28+P28+Q28+M28)*T28</f>
        <v>39</v>
      </c>
      <c r="C28" s="36"/>
      <c r="D28" s="36"/>
      <c r="E28" s="36"/>
      <c r="F28" s="36"/>
      <c r="G28" s="36"/>
      <c r="H28" s="36"/>
      <c r="I28" s="36"/>
      <c r="K28" s="3">
        <v>1</v>
      </c>
      <c r="L28" s="3">
        <v>0.25</v>
      </c>
      <c r="M28" s="3"/>
      <c r="N28" s="3"/>
      <c r="O28" s="3"/>
      <c r="P28" s="3">
        <v>1.5</v>
      </c>
      <c r="Q28" s="3">
        <v>0.5</v>
      </c>
      <c r="R28" s="3">
        <v>3</v>
      </c>
      <c r="S28" s="3">
        <v>4</v>
      </c>
      <c r="T28" s="178">
        <v>12</v>
      </c>
    </row>
    <row r="29" spans="1:20" ht="16" x14ac:dyDescent="0.2">
      <c r="A29" s="181" t="s">
        <v>145</v>
      </c>
      <c r="B29" s="36">
        <f>(K29+L29+N29+O29+P29+Q29+M29)*T29</f>
        <v>63</v>
      </c>
      <c r="C29" s="36"/>
      <c r="D29" s="36"/>
      <c r="E29" s="36"/>
      <c r="F29" s="36"/>
      <c r="G29" s="36"/>
      <c r="H29" s="36"/>
      <c r="I29" s="36"/>
      <c r="K29" s="3">
        <v>2</v>
      </c>
      <c r="L29" s="3">
        <v>0.5</v>
      </c>
      <c r="M29" s="3"/>
      <c r="N29" s="3"/>
      <c r="O29" s="3">
        <v>0.25</v>
      </c>
      <c r="P29" s="3">
        <v>1.5</v>
      </c>
      <c r="Q29" s="3">
        <v>1</v>
      </c>
      <c r="R29" s="3">
        <v>4</v>
      </c>
      <c r="S29" s="3">
        <v>4</v>
      </c>
      <c r="T29" s="178">
        <v>12</v>
      </c>
    </row>
    <row r="30" spans="1:20" ht="6.75" customHeight="1" x14ac:dyDescent="0.2">
      <c r="A30" s="196"/>
      <c r="B30" s="195"/>
      <c r="C30" s="195"/>
      <c r="D30" s="195"/>
      <c r="E30" s="195"/>
      <c r="F30" s="195"/>
      <c r="G30" s="195"/>
      <c r="H30" s="195"/>
      <c r="I30" s="195"/>
      <c r="J30" s="194"/>
      <c r="K30" s="193"/>
      <c r="L30" s="193"/>
      <c r="M30" s="193"/>
      <c r="N30" s="193"/>
      <c r="O30" s="193"/>
      <c r="P30" s="193"/>
      <c r="Q30" s="193"/>
      <c r="R30" s="193"/>
      <c r="S30" s="193"/>
      <c r="T30" s="192"/>
    </row>
    <row r="31" spans="1:20" ht="16" x14ac:dyDescent="0.2">
      <c r="A31" s="181" t="s">
        <v>146</v>
      </c>
      <c r="B31" s="36">
        <f t="shared" ref="B31:B37" si="9">(K31+L31+N31+O31+P31+Q31+M31)*T31</f>
        <v>0</v>
      </c>
      <c r="C31" s="36">
        <f>(M31+O31+P31+Q31+T31+N31)*U31</f>
        <v>0</v>
      </c>
      <c r="D31" s="36">
        <f>(N31+P31+Q31+T31+U31+O31)*V31</f>
        <v>0</v>
      </c>
      <c r="E31" s="36">
        <f>(O31+Q31+T31+U31+V31+P31)*W31</f>
        <v>0</v>
      </c>
      <c r="F31" s="36">
        <f>(P31+T31+U31+V31+W31+Q31)*X31</f>
        <v>0</v>
      </c>
      <c r="G31" s="36">
        <f>(Q31+U31+V31+W31+X31+T31)*Y31</f>
        <v>0</v>
      </c>
      <c r="H31" s="36">
        <f>(T31+V31+W31+X31+Y31+U31)*Z31</f>
        <v>0</v>
      </c>
      <c r="I31" s="36">
        <f>(U31+W31+X31+Y31+Z31+V31)*AA31</f>
        <v>0</v>
      </c>
      <c r="K31" s="3"/>
      <c r="L31" s="3"/>
      <c r="M31" s="3"/>
      <c r="N31" s="3"/>
      <c r="O31" s="3"/>
      <c r="P31" s="3"/>
      <c r="Q31" s="3"/>
      <c r="R31" s="3"/>
      <c r="S31" s="3"/>
      <c r="T31" s="151">
        <v>12</v>
      </c>
    </row>
    <row r="32" spans="1:20" ht="16" x14ac:dyDescent="0.2">
      <c r="A32" s="181" t="s">
        <v>147</v>
      </c>
      <c r="B32" s="36">
        <f t="shared" si="9"/>
        <v>69</v>
      </c>
      <c r="C32" s="36"/>
      <c r="D32" s="36"/>
      <c r="E32" s="36"/>
      <c r="F32" s="36"/>
      <c r="G32" s="36"/>
      <c r="H32" s="36"/>
      <c r="I32" s="36"/>
      <c r="K32" s="3">
        <v>1.5</v>
      </c>
      <c r="L32" s="3">
        <v>0.5</v>
      </c>
      <c r="M32" s="3"/>
      <c r="N32" s="3"/>
      <c r="O32" s="3">
        <v>0.25</v>
      </c>
      <c r="P32" s="3">
        <v>1.5</v>
      </c>
      <c r="Q32" s="3">
        <v>2</v>
      </c>
      <c r="R32" s="3">
        <v>4</v>
      </c>
      <c r="S32" s="3">
        <v>4</v>
      </c>
      <c r="T32" s="151">
        <v>12</v>
      </c>
    </row>
    <row r="33" spans="1:20" ht="16" x14ac:dyDescent="0.2">
      <c r="A33" s="181" t="s">
        <v>148</v>
      </c>
      <c r="B33" s="36">
        <f t="shared" si="9"/>
        <v>0</v>
      </c>
      <c r="C33" s="36">
        <f>(M33+O33+P33+Q33+T33+N33)*U33</f>
        <v>0</v>
      </c>
      <c r="D33" s="36">
        <f>(N33+P33+Q33+T33+U33+O33)*V33</f>
        <v>0</v>
      </c>
      <c r="E33" s="36">
        <f>(O33+Q33+T33+U33+V33+P33)*W33</f>
        <v>0</v>
      </c>
      <c r="F33" s="36">
        <f>(P33+T33+U33+V33+W33+Q33)*X33</f>
        <v>0</v>
      </c>
      <c r="G33" s="36">
        <f>(Q33+U33+V33+W33+X33+T33)*Y33</f>
        <v>0</v>
      </c>
      <c r="H33" s="36">
        <f>(T33+V33+W33+X33+Y33+U33)*Z33</f>
        <v>0</v>
      </c>
      <c r="I33" s="36">
        <f>(U33+W33+X33+Y33+Z33+V33)*AA33</f>
        <v>0</v>
      </c>
      <c r="K33" s="3"/>
      <c r="L33" s="3"/>
      <c r="M33" s="3"/>
      <c r="N33" s="3"/>
      <c r="O33" s="3"/>
      <c r="P33" s="3"/>
      <c r="Q33" s="3"/>
      <c r="R33" s="3"/>
      <c r="S33" s="3"/>
      <c r="T33" s="178">
        <v>12</v>
      </c>
    </row>
    <row r="34" spans="1:20" ht="16" x14ac:dyDescent="0.2">
      <c r="A34" s="181" t="s">
        <v>149</v>
      </c>
      <c r="B34" s="36">
        <f t="shared" si="9"/>
        <v>0</v>
      </c>
      <c r="C34" s="36">
        <f>(M34+O34+P34+Q34+T34+N34)*U34</f>
        <v>0</v>
      </c>
      <c r="D34" s="36">
        <f>(N34+P34+Q34+T34+U34+O34)*V34</f>
        <v>0</v>
      </c>
      <c r="E34" s="36">
        <f>(O34+Q34+T34+U34+V34+P34)*W34</f>
        <v>0</v>
      </c>
      <c r="F34" s="36">
        <f>(P34+T34+U34+V34+W34+Q34)*X34</f>
        <v>0</v>
      </c>
      <c r="G34" s="36">
        <f>(Q34+U34+V34+W34+X34+T34)*Y34</f>
        <v>0</v>
      </c>
      <c r="H34" s="36">
        <f>(T34+V34+W34+X34+Y34+U34)*Z34</f>
        <v>0</v>
      </c>
      <c r="I34" s="36">
        <f>(U34+W34+X34+Y34+Z34+V34)*AA34</f>
        <v>0</v>
      </c>
      <c r="K34" s="3"/>
      <c r="L34" s="3"/>
      <c r="M34" s="3"/>
      <c r="N34" s="3"/>
      <c r="O34" s="3"/>
      <c r="P34" s="3"/>
      <c r="Q34" s="3"/>
      <c r="R34" s="3"/>
      <c r="S34" s="3"/>
      <c r="T34" s="178">
        <v>12</v>
      </c>
    </row>
    <row r="35" spans="1:20" ht="16" x14ac:dyDescent="0.2">
      <c r="A35" s="181" t="s">
        <v>150</v>
      </c>
      <c r="B35" s="36">
        <f t="shared" si="9"/>
        <v>96</v>
      </c>
      <c r="C35" s="36">
        <f>(M35+O35+P35+Q35+T35+N35)*U35</f>
        <v>0</v>
      </c>
      <c r="D35" s="36">
        <f>(N35+P35+Q35+T35+U35+O35)*V35</f>
        <v>0</v>
      </c>
      <c r="E35" s="36">
        <f>(O35+Q35+T35+U35+V35+P35)*W35</f>
        <v>0</v>
      </c>
      <c r="F35" s="36">
        <f>(P35+T35+U35+V35+W35+Q35)*X35</f>
        <v>0</v>
      </c>
      <c r="G35" s="36">
        <f>(Q35+U35+V35+W35+X35+T35)*Y35</f>
        <v>0</v>
      </c>
      <c r="H35" s="36">
        <f>(T35+V35+W35+X35+Y35+U35)*Z35</f>
        <v>0</v>
      </c>
      <c r="I35" s="36"/>
      <c r="K35" s="3">
        <v>2</v>
      </c>
      <c r="L35" s="3">
        <v>2</v>
      </c>
      <c r="M35" s="3"/>
      <c r="N35" s="3"/>
      <c r="O35" s="3">
        <v>1</v>
      </c>
      <c r="P35" s="3">
        <v>2</v>
      </c>
      <c r="Q35" s="3">
        <v>1</v>
      </c>
      <c r="R35" s="3">
        <v>4</v>
      </c>
      <c r="S35" s="3">
        <v>5</v>
      </c>
      <c r="T35" s="178">
        <v>12</v>
      </c>
    </row>
    <row r="36" spans="1:20" ht="16" x14ac:dyDescent="0.2">
      <c r="A36" s="181" t="s">
        <v>151</v>
      </c>
      <c r="B36" s="36">
        <f t="shared" si="9"/>
        <v>144</v>
      </c>
      <c r="C36" s="36">
        <f>(M36+O36+P36+Q36+T36+N36)*U36</f>
        <v>0</v>
      </c>
      <c r="D36" s="36">
        <f>(N36+P36+Q36+T36+U36+O36)*V36</f>
        <v>0</v>
      </c>
      <c r="E36" s="36">
        <f>(O36+Q36+T36+U36+V36+P36)*W36</f>
        <v>0</v>
      </c>
      <c r="F36" s="36">
        <f>(P36+T36+U36+V36+W36+Q36)*X36</f>
        <v>0</v>
      </c>
      <c r="G36" s="36">
        <f>(Q36+U36+V36+W36+X36+T36)*Y36</f>
        <v>0</v>
      </c>
      <c r="H36" s="36">
        <f>(T36+V36+W36+X36+Y36+U36)*Z36</f>
        <v>0</v>
      </c>
      <c r="I36" s="36">
        <f>(U36+W36+X36+Y36+Z36+V36)*AA36</f>
        <v>0</v>
      </c>
      <c r="K36" s="3">
        <v>4</v>
      </c>
      <c r="L36" s="3">
        <v>1</v>
      </c>
      <c r="M36" s="3"/>
      <c r="N36" s="3"/>
      <c r="O36" s="3">
        <v>2</v>
      </c>
      <c r="P36" s="3">
        <v>3</v>
      </c>
      <c r="Q36" s="3">
        <v>2</v>
      </c>
      <c r="R36" s="3">
        <v>4</v>
      </c>
      <c r="S36" s="3">
        <v>4</v>
      </c>
      <c r="T36" s="178">
        <v>12</v>
      </c>
    </row>
    <row r="37" spans="1:20" ht="16" x14ac:dyDescent="0.2">
      <c r="A37" s="181" t="s">
        <v>152</v>
      </c>
      <c r="B37" s="36">
        <f t="shared" si="9"/>
        <v>0</v>
      </c>
      <c r="C37" s="36">
        <f>(M37+O37+P37+Q37+T37+N37)*U37</f>
        <v>0</v>
      </c>
      <c r="D37" s="36">
        <f>(N37+P37+Q37+T37+U37+O37)*V37</f>
        <v>0</v>
      </c>
      <c r="E37" s="36">
        <f>(O37+Q37+T37+U37+V37+P37)*W37</f>
        <v>0</v>
      </c>
      <c r="F37" s="36">
        <f>(P37+T37+U37+V37+W37+Q37)*X37</f>
        <v>0</v>
      </c>
      <c r="G37" s="36">
        <f>(Q37+U37+V37+W37+X37+T37)*Y37</f>
        <v>0</v>
      </c>
      <c r="H37" s="36">
        <f>(T37+V37+W37+X37+Y37+U37)*Z37</f>
        <v>0</v>
      </c>
      <c r="I37" s="36">
        <f>(U37+W37+X37+Y37+Z37+V37)*AA37</f>
        <v>0</v>
      </c>
      <c r="K37" s="3"/>
      <c r="L37" s="3"/>
      <c r="M37" s="3"/>
      <c r="N37" s="3"/>
      <c r="O37" s="3"/>
      <c r="P37" s="3"/>
      <c r="Q37" s="3"/>
      <c r="R37" s="3"/>
      <c r="S37" s="3"/>
      <c r="T37" s="178">
        <v>12</v>
      </c>
    </row>
    <row r="38" spans="1:20" ht="7.5" customHeight="1" x14ac:dyDescent="0.2">
      <c r="A38" s="193"/>
      <c r="B38" s="195"/>
      <c r="C38" s="195"/>
      <c r="D38" s="195"/>
      <c r="E38" s="195"/>
      <c r="F38" s="195"/>
      <c r="G38" s="195"/>
      <c r="H38" s="195"/>
      <c r="I38" s="195"/>
      <c r="J38" s="194"/>
      <c r="K38" s="193"/>
      <c r="L38" s="193"/>
      <c r="M38" s="193"/>
      <c r="N38" s="193"/>
      <c r="O38" s="193"/>
      <c r="P38" s="193"/>
      <c r="Q38" s="193"/>
      <c r="R38" s="193"/>
      <c r="S38" s="193"/>
      <c r="T38" s="192"/>
    </row>
    <row r="39" spans="1:20" ht="16" x14ac:dyDescent="0.2">
      <c r="A39" s="181" t="s">
        <v>153</v>
      </c>
      <c r="B39" s="36">
        <f>(K39+L39+N39+O39+P39+Q39+M39)*T39</f>
        <v>5.5</v>
      </c>
      <c r="C39" s="36">
        <f>(M39+O39+P39+Q39+T39+N39)*U39</f>
        <v>0</v>
      </c>
      <c r="D39" s="36">
        <f>(N39+P39+Q39+T39+U39+O39)*V39</f>
        <v>0</v>
      </c>
      <c r="E39" s="36">
        <f>(O39+Q39+T39+U39+V39+P39)*W39</f>
        <v>0</v>
      </c>
      <c r="F39" s="36">
        <f>(P39+T39+U39+V39+W39+Q39)*X39</f>
        <v>0</v>
      </c>
      <c r="G39" s="36">
        <f>(Q39+U39+V39+W39+X39+T39)*Y39</f>
        <v>0</v>
      </c>
      <c r="H39" s="36">
        <f t="shared" ref="H39:I43" si="10">(T39+V39+W39+X39+Y39+U39)*Z39</f>
        <v>0</v>
      </c>
      <c r="I39" s="36">
        <f t="shared" si="10"/>
        <v>0</v>
      </c>
      <c r="K39" s="3"/>
      <c r="L39" s="3"/>
      <c r="M39" s="3"/>
      <c r="N39" s="3">
        <v>0.5</v>
      </c>
      <c r="O39" s="3"/>
      <c r="P39" s="3"/>
      <c r="Q39" s="3"/>
      <c r="R39" s="3"/>
      <c r="S39" s="3"/>
      <c r="T39" s="178">
        <v>11</v>
      </c>
    </row>
    <row r="40" spans="1:20" ht="16" x14ac:dyDescent="0.2">
      <c r="A40" s="181" t="s">
        <v>154</v>
      </c>
      <c r="B40" s="36">
        <f>(K40+L40+N40+O40+P40+Q40+M40)*T40</f>
        <v>0</v>
      </c>
      <c r="C40" s="36">
        <f>(M40+O40+P40+Q40+T40+N40)*U40</f>
        <v>0</v>
      </c>
      <c r="D40" s="36">
        <f>(N40+P40+Q40+T40+U40+O40)*V40</f>
        <v>0</v>
      </c>
      <c r="E40" s="36">
        <f>(O40+Q40+T40+U40+V40+P40)*W40</f>
        <v>0</v>
      </c>
      <c r="F40" s="36">
        <f>(P40+T40+U40+V40+W40+Q40)*X40</f>
        <v>0</v>
      </c>
      <c r="G40" s="36">
        <f>(Q40+U40+V40+W40+X40+T40)*Y40</f>
        <v>0</v>
      </c>
      <c r="H40" s="36">
        <f t="shared" si="10"/>
        <v>0</v>
      </c>
      <c r="I40" s="36">
        <f t="shared" si="10"/>
        <v>0</v>
      </c>
      <c r="K40" s="3"/>
      <c r="L40" s="3"/>
      <c r="M40" s="3"/>
      <c r="N40" s="3"/>
      <c r="O40" s="3"/>
      <c r="P40" s="3"/>
      <c r="Q40" s="3"/>
      <c r="R40" s="3"/>
      <c r="S40" s="3"/>
      <c r="T40" s="178">
        <v>24</v>
      </c>
    </row>
    <row r="41" spans="1:20" ht="16" x14ac:dyDescent="0.2">
      <c r="A41" s="181" t="s">
        <v>155</v>
      </c>
      <c r="B41" s="36">
        <f>(K41+L41+N41+O41+P41+Q41+M41)*T41</f>
        <v>52</v>
      </c>
      <c r="C41" s="36">
        <f>(M41+O41+P41+Q41+T41+N41)*U41</f>
        <v>0</v>
      </c>
      <c r="D41" s="36">
        <f>(N41+P41+Q41+T41+U41+O41)*V41</f>
        <v>0</v>
      </c>
      <c r="E41" s="36">
        <f>(O41+Q41+T41+U41+V41+P41)*W41</f>
        <v>0</v>
      </c>
      <c r="F41" s="36">
        <f>(P41+T41+U41+V41+W41+Q41)*X41</f>
        <v>0</v>
      </c>
      <c r="G41" s="36">
        <f>(Q41+U41+V41+W41+X41+T41)*Y41</f>
        <v>0</v>
      </c>
      <c r="H41" s="36">
        <f t="shared" si="10"/>
        <v>0</v>
      </c>
      <c r="I41" s="36">
        <f t="shared" si="10"/>
        <v>0</v>
      </c>
      <c r="K41" s="3"/>
      <c r="L41" s="3"/>
      <c r="M41" s="3"/>
      <c r="N41" s="3">
        <v>1</v>
      </c>
      <c r="O41" s="3"/>
      <c r="P41" s="3"/>
      <c r="Q41" s="3"/>
      <c r="R41" s="3"/>
      <c r="S41" s="3"/>
      <c r="T41" s="178">
        <v>52</v>
      </c>
    </row>
    <row r="42" spans="1:20" ht="16" x14ac:dyDescent="0.2">
      <c r="A42" s="181" t="s">
        <v>156</v>
      </c>
      <c r="B42" s="36">
        <f>(K42+L42+N42+O42+P42+Q42+M42)*T42</f>
        <v>26</v>
      </c>
      <c r="C42" s="36">
        <f>(M42+O42+P42+Q42+T42+N42)*U42</f>
        <v>0</v>
      </c>
      <c r="D42" s="36">
        <f>(N42+P42+Q42+T42+U42+O42)*V42</f>
        <v>0</v>
      </c>
      <c r="E42" s="36">
        <f>(O42+Q42+T42+U42+V42+P42)*W42</f>
        <v>0</v>
      </c>
      <c r="F42" s="36">
        <f>(P42+T42+U42+V42+W42+Q42)*X42</f>
        <v>0</v>
      </c>
      <c r="G42" s="36">
        <f>(Q42+U42+V42+W42+X42+T42)*Y42</f>
        <v>0</v>
      </c>
      <c r="H42" s="36">
        <f t="shared" si="10"/>
        <v>0</v>
      </c>
      <c r="I42" s="36">
        <f t="shared" si="10"/>
        <v>0</v>
      </c>
      <c r="K42" s="3"/>
      <c r="L42" s="3">
        <v>0.5</v>
      </c>
      <c r="M42" s="3"/>
      <c r="N42" s="3"/>
      <c r="O42" s="3"/>
      <c r="P42" s="3"/>
      <c r="Q42" s="3"/>
      <c r="R42" s="3"/>
      <c r="S42" s="3"/>
      <c r="T42" s="178">
        <v>52</v>
      </c>
    </row>
    <row r="43" spans="1:20" ht="16" x14ac:dyDescent="0.2">
      <c r="A43" s="181" t="s">
        <v>157</v>
      </c>
      <c r="B43" s="36">
        <f>(K43+L43+N43+O43+P43+Q43+M43)*T43</f>
        <v>156</v>
      </c>
      <c r="C43" s="36">
        <f>(M43+O43+P43+Q43+T43+N43)*U43</f>
        <v>0</v>
      </c>
      <c r="D43" s="36">
        <f>(N43+P43+Q43+T43+U43+O43)*V43</f>
        <v>0</v>
      </c>
      <c r="E43" s="36">
        <f>(O43+Q43+T43+U43+V43+P43)*W43</f>
        <v>0</v>
      </c>
      <c r="F43" s="36">
        <f>(P43+T43+U43+V43+W43+Q43)*X43</f>
        <v>0</v>
      </c>
      <c r="G43" s="36">
        <f>(Q43+U43+V43+W43+X43+T43)*Y43</f>
        <v>0</v>
      </c>
      <c r="H43" s="36">
        <f t="shared" si="10"/>
        <v>0</v>
      </c>
      <c r="I43" s="36">
        <f t="shared" si="10"/>
        <v>0</v>
      </c>
      <c r="J43" s="202"/>
      <c r="K43" s="3"/>
      <c r="L43" s="3">
        <v>1</v>
      </c>
      <c r="M43" s="3">
        <v>2</v>
      </c>
      <c r="N43" s="3"/>
      <c r="O43" s="3"/>
      <c r="P43" s="3"/>
      <c r="Q43" s="3"/>
      <c r="R43" s="3"/>
      <c r="S43" s="3"/>
      <c r="T43" s="178">
        <v>52</v>
      </c>
    </row>
    <row r="44" spans="1:20" ht="14.25" customHeight="1" x14ac:dyDescent="0.2">
      <c r="A44" s="201"/>
    </row>
    <row r="45" spans="1:20" ht="16" x14ac:dyDescent="0.2">
      <c r="A45" s="201"/>
    </row>
  </sheetData>
  <mergeCells count="1">
    <mergeCell ref="K1:S1"/>
  </mergeCell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3F7A285D313D4DA2C018A45DD80E42" ma:contentTypeVersion="13" ma:contentTypeDescription="Create a new document." ma:contentTypeScope="" ma:versionID="5605a445d76469ba6c4cc8fab292d395">
  <xsd:schema xmlns:xsd="http://www.w3.org/2001/XMLSchema" xmlns:xs="http://www.w3.org/2001/XMLSchema" xmlns:p="http://schemas.microsoft.com/office/2006/metadata/properties" xmlns:ns3="f8ccccc5-0365-4248-92ac-122c326b6e61" xmlns:ns4="dac165ff-bed0-4f84-bb48-e0345f4a9784" targetNamespace="http://schemas.microsoft.com/office/2006/metadata/properties" ma:root="true" ma:fieldsID="55eee44559f0f833d37501734ca9a981" ns3:_="" ns4:_="">
    <xsd:import namespace="f8ccccc5-0365-4248-92ac-122c326b6e61"/>
    <xsd:import namespace="dac165ff-bed0-4f84-bb48-e0345f4a97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cccc5-0365-4248-92ac-122c326b6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65ff-bed0-4f84-bb48-e0345f4a97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2D730-6BDE-4392-A3CF-EADB580B9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cccc5-0365-4248-92ac-122c326b6e61"/>
    <ds:schemaRef ds:uri="dac165ff-bed0-4f84-bb48-e0345f4a97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67410-38B2-453D-97FE-B2B3D9781A5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ac165ff-bed0-4f84-bb48-e0345f4a9784"/>
    <ds:schemaRef ds:uri="http://purl.org/dc/terms/"/>
    <ds:schemaRef ds:uri="f8ccccc5-0365-4248-92ac-122c326b6e6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0095F0-5359-4DC3-921E-1A60A751AC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Sample Score Card</vt:lpstr>
      <vt:lpstr>Chapel Hill Scorecard</vt:lpstr>
      <vt:lpstr>Current Program Scoring</vt:lpstr>
      <vt:lpstr>2017</vt:lpstr>
      <vt:lpstr>NPS Scoring Example</vt:lpstr>
      <vt:lpstr>Staff Time Calc</vt:lpstr>
      <vt:lpstr>Vanessa</vt:lpstr>
      <vt:lpstr>Nicholas</vt:lpstr>
      <vt:lpstr>Rebecca</vt:lpstr>
      <vt:lpstr>Justin</vt:lpstr>
      <vt:lpstr>'Current Program Scoring'!Print_Area</vt:lpstr>
      <vt:lpstr>'Staff Time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Nelson</dc:creator>
  <cp:keywords/>
  <dc:description/>
  <cp:lastModifiedBy>Microsoft Office User</cp:lastModifiedBy>
  <cp:revision/>
  <cp:lastPrinted>2021-05-21T16:08:00Z</cp:lastPrinted>
  <dcterms:created xsi:type="dcterms:W3CDTF">2016-11-09T22:12:22Z</dcterms:created>
  <dcterms:modified xsi:type="dcterms:W3CDTF">2021-05-24T19:02:50Z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0x010100B43F7A285D313D4DA2C018A45DD80E42</vt:lpwstr>
  </property>
</Properties>
</file>